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iki_\Desktop\FAKS\DIPLOMSKI RAD\Za CD\"/>
    </mc:Choice>
  </mc:AlternateContent>
  <xr:revisionPtr revIDLastSave="0" documentId="13_ncr:1_{C1ED5F9C-8F61-41C3-83DF-C52F50603A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ruti pravokutni vodiči " sheetId="1" r:id="rId1"/>
    <sheet name="Kruti okrugli vodiči " sheetId="4" r:id="rId2"/>
    <sheet name="Fleksibilni vodiči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4" l="1"/>
  <c r="A62" i="4"/>
  <c r="A61" i="4"/>
  <c r="A61" i="1"/>
  <c r="B32" i="2"/>
  <c r="B50" i="4" a="1"/>
  <c r="B50" i="4" s="1"/>
  <c r="B40" i="4" a="1"/>
  <c r="B40" i="4" s="1"/>
  <c r="B41" i="4" s="1"/>
  <c r="B33" i="4"/>
  <c r="B35" i="4"/>
  <c r="B38" i="1"/>
  <c r="B35" i="1"/>
  <c r="B36" i="1" s="1" a="1"/>
  <c r="B36" i="1" s="1"/>
  <c r="B40" i="1" a="1"/>
  <c r="B40" i="1" s="1"/>
  <c r="B25" i="4"/>
  <c r="B32" i="4"/>
  <c r="B32" i="1"/>
  <c r="B31" i="2"/>
  <c r="B34" i="2" s="1"/>
  <c r="B44" i="2"/>
  <c r="B46" i="2" s="1"/>
  <c r="B43" i="2"/>
  <c r="B45" i="2" s="1"/>
  <c r="B25" i="2"/>
  <c r="B45" i="1"/>
  <c r="B45" i="4"/>
  <c r="B37" i="4"/>
  <c r="B38" i="4" s="1"/>
  <c r="B31" i="4"/>
  <c r="B21" i="4"/>
  <c r="B42" i="4" s="1"/>
  <c r="B44" i="4" s="1"/>
  <c r="B49" i="4" s="1" a="1"/>
  <c r="B49" i="4" s="1"/>
  <c r="B7" i="4"/>
  <c r="B33" i="1"/>
  <c r="B21" i="1"/>
  <c r="B37" i="1"/>
  <c r="B39" i="1" s="1"/>
  <c r="B7" i="1"/>
  <c r="B31" i="1"/>
  <c r="B48" i="2" l="1"/>
  <c r="B47" i="2"/>
  <c r="B38" i="2"/>
  <c r="B40" i="2" s="1"/>
  <c r="B37" i="2"/>
  <c r="B39" i="2" s="1"/>
  <c r="B36" i="4" a="1"/>
  <c r="B36" i="4" s="1"/>
  <c r="B52" i="4" s="1"/>
  <c r="B39" i="4"/>
  <c r="B42" i="1"/>
  <c r="B44" i="1" s="1"/>
  <c r="B41" i="1"/>
  <c r="B43" i="1" s="1"/>
  <c r="B48" i="1" s="1" a="1"/>
  <c r="B48" i="1" s="1"/>
  <c r="B34" i="1" a="1"/>
  <c r="B34" i="1" s="1"/>
  <c r="B34" i="4" a="1"/>
  <c r="B34" i="4" s="1"/>
  <c r="B33" i="2"/>
  <c r="B35" i="2" s="1"/>
  <c r="D52" i="4" l="1"/>
  <c r="B36" i="2"/>
  <c r="B42" i="2" s="1"/>
  <c r="B66" i="2" s="1"/>
  <c r="B50" i="1" a="1"/>
  <c r="B50" i="1" s="1"/>
  <c r="B49" i="1" a="1"/>
  <c r="B49" i="1" s="1"/>
  <c r="B68" i="2" a="1"/>
  <c r="B68" i="2" s="1"/>
  <c r="B47" i="1" a="1"/>
  <c r="B47" i="1" s="1"/>
  <c r="B46" i="1" a="1"/>
  <c r="B46" i="1" s="1"/>
  <c r="B43" i="4"/>
  <c r="B41" i="2" l="1"/>
  <c r="B49" i="2" s="1"/>
  <c r="B58" i="2" s="1" a="1"/>
  <c r="B58" i="2" s="1"/>
  <c r="B50" i="2"/>
  <c r="B59" i="2" s="1" a="1"/>
  <c r="B59" i="2" s="1"/>
  <c r="B52" i="1"/>
  <c r="D52" i="1" s="1"/>
  <c r="B51" i="1"/>
  <c r="B48" i="4" a="1"/>
  <c r="B48" i="4" s="1"/>
  <c r="B46" i="4" a="1"/>
  <c r="B46" i="4" s="1"/>
  <c r="B47" i="4" a="1"/>
  <c r="B47" i="4" s="1"/>
  <c r="B54" i="1"/>
  <c r="B61" i="2" l="1" a="1"/>
  <c r="B61" i="2" s="1"/>
  <c r="B63" i="2" s="1"/>
  <c r="B60" i="2" a="1"/>
  <c r="B60" i="2" s="1"/>
  <c r="B62" i="2" s="1"/>
  <c r="B52" i="2"/>
  <c r="G55" i="2" s="1"/>
  <c r="B51" i="2"/>
  <c r="D51" i="1"/>
  <c r="B53" i="1"/>
  <c r="D53" i="1" s="1"/>
  <c r="B56" i="1"/>
  <c r="B57" i="1"/>
  <c r="B55" i="1"/>
  <c r="B64" i="2" l="1"/>
  <c r="B56" i="2" a="1"/>
  <c r="B56" i="2" s="1"/>
  <c r="B65" i="2" s="1"/>
  <c r="B67" i="2" s="1"/>
  <c r="B69" i="2" s="1" a="1"/>
  <c r="B69" i="2" s="1"/>
  <c r="B70" i="2" s="1"/>
  <c r="D55" i="2"/>
  <c r="F55" i="2"/>
  <c r="E55" i="2"/>
  <c r="E53" i="2"/>
  <c r="D53" i="2"/>
  <c r="G53" i="2"/>
  <c r="B55" i="2" a="1"/>
  <c r="B55" i="2" s="1"/>
  <c r="F53" i="2"/>
  <c r="A63" i="1"/>
  <c r="B58" i="1"/>
  <c r="B59" i="1"/>
  <c r="A62" i="1"/>
  <c r="B57" i="2" l="1"/>
  <c r="B71" i="2" s="1"/>
  <c r="A74" i="2" s="1"/>
  <c r="H55" i="2"/>
  <c r="H53" i="2"/>
  <c r="B51" i="4"/>
  <c r="B54" i="4"/>
  <c r="B56" i="4" s="1"/>
  <c r="B55" i="4"/>
  <c r="B58" i="4" s="1"/>
  <c r="D51" i="4" l="1"/>
  <c r="B53" i="4"/>
  <c r="D53" i="4" s="1"/>
  <c r="A73" i="2"/>
  <c r="B59" i="4"/>
  <c r="B5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<sst xmlns="http://schemas.openxmlformats.org/spreadsheetml/2006/main" count="332" uniqueCount="150">
  <si>
    <t>ULAZNI PODACI:</t>
  </si>
  <si>
    <t>κ=</t>
  </si>
  <si>
    <t>f=</t>
  </si>
  <si>
    <t>Hz</t>
  </si>
  <si>
    <t>l=</t>
  </si>
  <si>
    <t>m</t>
  </si>
  <si>
    <t>a=</t>
  </si>
  <si>
    <t>b=</t>
  </si>
  <si>
    <t>d=</t>
  </si>
  <si>
    <t>m'=</t>
  </si>
  <si>
    <t>Rp0,2=</t>
  </si>
  <si>
    <t>kg/m</t>
  </si>
  <si>
    <t>N/mm^2</t>
  </si>
  <si>
    <t>Ik3''=</t>
  </si>
  <si>
    <t>PRORAČUN:</t>
  </si>
  <si>
    <t>ip3=</t>
  </si>
  <si>
    <t>A</t>
  </si>
  <si>
    <r>
      <rPr>
        <sz val="12"/>
        <color theme="1"/>
        <rFont val="Calibri"/>
        <family val="2"/>
        <charset val="238"/>
      </rPr>
      <t>µ</t>
    </r>
    <r>
      <rPr>
        <sz val="12"/>
        <color theme="1"/>
        <rFont val="Times New Roman"/>
        <family val="1"/>
        <charset val="238"/>
      </rPr>
      <t>0=</t>
    </r>
  </si>
  <si>
    <t>am=</t>
  </si>
  <si>
    <t>k12=</t>
  </si>
  <si>
    <t>N</t>
  </si>
  <si>
    <t>J=</t>
  </si>
  <si>
    <t>m^4</t>
  </si>
  <si>
    <r>
      <rPr>
        <sz val="12"/>
        <color theme="1"/>
        <rFont val="Calibri"/>
        <family val="2"/>
        <charset val="238"/>
      </rPr>
      <t>γ</t>
    </r>
    <r>
      <rPr>
        <sz val="12"/>
        <color theme="1"/>
        <rFont val="Times New Roman"/>
        <family val="1"/>
        <charset val="238"/>
      </rPr>
      <t>=</t>
    </r>
  </si>
  <si>
    <t>fc=</t>
  </si>
  <si>
    <t>N/m^2</t>
  </si>
  <si>
    <t>Vf=</t>
  </si>
  <si>
    <r>
      <t>V</t>
    </r>
    <r>
      <rPr>
        <sz val="12"/>
        <color theme="1"/>
        <rFont val="Calibri"/>
        <family val="2"/>
        <charset val="238"/>
      </rPr>
      <t>σ</t>
    </r>
    <r>
      <rPr>
        <sz val="12"/>
        <color theme="1"/>
        <rFont val="Times New Roman"/>
        <family val="1"/>
        <charset val="238"/>
      </rPr>
      <t>=</t>
    </r>
  </si>
  <si>
    <t>Vr=</t>
  </si>
  <si>
    <r>
      <rPr>
        <sz val="12"/>
        <color theme="1"/>
        <rFont val="Calibri"/>
        <family val="2"/>
        <charset val="238"/>
      </rPr>
      <t>β</t>
    </r>
    <r>
      <rPr>
        <sz val="12"/>
        <color theme="1"/>
        <rFont val="Times New Roman"/>
        <family val="1"/>
        <charset val="238"/>
      </rPr>
      <t>=</t>
    </r>
  </si>
  <si>
    <t>Z=</t>
  </si>
  <si>
    <t>m^3</t>
  </si>
  <si>
    <t>q=</t>
  </si>
  <si>
    <t>αA=</t>
  </si>
  <si>
    <t>αB=</t>
  </si>
  <si>
    <t>FdA=</t>
  </si>
  <si>
    <t>FdB=</t>
  </si>
  <si>
    <t>Ik2''=</t>
  </si>
  <si>
    <t>ip2=</t>
  </si>
  <si>
    <t>lm=</t>
  </si>
  <si>
    <t>D=</t>
  </si>
  <si>
    <t>s=</t>
  </si>
  <si>
    <t>fc/f=</t>
  </si>
  <si>
    <t>κ1=</t>
  </si>
  <si>
    <t>hi=</t>
  </si>
  <si>
    <t>hs=</t>
  </si>
  <si>
    <t>MiA=</t>
  </si>
  <si>
    <t>MsA=</t>
  </si>
  <si>
    <t>MiB=</t>
  </si>
  <si>
    <t>MsB=</t>
  </si>
  <si>
    <t>Nm</t>
  </si>
  <si>
    <t>Tk1=</t>
  </si>
  <si>
    <t>s</t>
  </si>
  <si>
    <t>a1=</t>
  </si>
  <si>
    <t>a2=</t>
  </si>
  <si>
    <t>S=</t>
  </si>
  <si>
    <t>As=</t>
  </si>
  <si>
    <t>ms'=</t>
  </si>
  <si>
    <t>E=</t>
  </si>
  <si>
    <t>Fst-20=</t>
  </si>
  <si>
    <t>g=</t>
  </si>
  <si>
    <t>m/s^2</t>
  </si>
  <si>
    <t>F'=</t>
  </si>
  <si>
    <t>n=</t>
  </si>
  <si>
    <t>r=</t>
  </si>
  <si>
    <r>
      <rPr>
        <sz val="12"/>
        <color theme="1"/>
        <rFont val="Calibri"/>
        <family val="2"/>
        <charset val="238"/>
      </rPr>
      <t>δ</t>
    </r>
    <r>
      <rPr>
        <sz val="12"/>
        <color theme="1"/>
        <rFont val="Times New Roman"/>
        <family val="1"/>
        <charset val="238"/>
      </rPr>
      <t>1=</t>
    </r>
  </si>
  <si>
    <t>°</t>
  </si>
  <si>
    <t>bc-20=</t>
  </si>
  <si>
    <t>T-20=</t>
  </si>
  <si>
    <t>Fst+60=</t>
  </si>
  <si>
    <t>bc+60=</t>
  </si>
  <si>
    <t>T+60=</t>
  </si>
  <si>
    <t>Tres-20=</t>
  </si>
  <si>
    <t>Tres+60=</t>
  </si>
  <si>
    <r>
      <rPr>
        <sz val="12"/>
        <color theme="1"/>
        <rFont val="Calibri"/>
        <family val="2"/>
        <charset val="238"/>
      </rPr>
      <t>σ</t>
    </r>
    <r>
      <rPr>
        <sz val="12"/>
        <color theme="1"/>
        <rFont val="Times New Roman"/>
        <family val="2"/>
        <charset val="238"/>
      </rPr>
      <t>fin=</t>
    </r>
  </si>
  <si>
    <t>N-20=</t>
  </si>
  <si>
    <t>N/m</t>
  </si>
  <si>
    <t>Es-20=</t>
  </si>
  <si>
    <t>Es+60=</t>
  </si>
  <si>
    <t>N+60=</t>
  </si>
  <si>
    <t>1/N</t>
  </si>
  <si>
    <r>
      <rPr>
        <sz val="12"/>
        <color theme="1"/>
        <rFont val="Calibri"/>
        <family val="2"/>
        <charset val="238"/>
      </rPr>
      <t>ζ</t>
    </r>
    <r>
      <rPr>
        <sz val="12"/>
        <color theme="1"/>
        <rFont val="Times New Roman"/>
        <family val="2"/>
        <charset val="238"/>
      </rPr>
      <t>-20=</t>
    </r>
  </si>
  <si>
    <r>
      <rPr>
        <sz val="12"/>
        <color theme="1"/>
        <rFont val="Calibri"/>
        <family val="2"/>
        <charset val="238"/>
      </rPr>
      <t>ζ+6</t>
    </r>
    <r>
      <rPr>
        <sz val="12"/>
        <color theme="1"/>
        <rFont val="Times New Roman"/>
        <family val="2"/>
        <charset val="238"/>
      </rPr>
      <t>0=</t>
    </r>
  </si>
  <si>
    <r>
      <rPr>
        <sz val="12"/>
        <color theme="1"/>
        <rFont val="Calibri"/>
        <family val="2"/>
        <charset val="238"/>
      </rPr>
      <t>δk-20</t>
    </r>
    <r>
      <rPr>
        <sz val="12"/>
        <color theme="1"/>
        <rFont val="Times New Roman"/>
        <family val="1"/>
        <charset val="238"/>
      </rPr>
      <t>=</t>
    </r>
  </si>
  <si>
    <r>
      <rPr>
        <sz val="12"/>
        <color theme="1"/>
        <rFont val="Calibri"/>
        <family val="2"/>
        <charset val="238"/>
      </rPr>
      <t>δk+60</t>
    </r>
    <r>
      <rPr>
        <sz val="12"/>
        <color theme="1"/>
        <rFont val="Times New Roman"/>
        <family val="1"/>
        <charset val="238"/>
      </rPr>
      <t>=</t>
    </r>
  </si>
  <si>
    <t>φ-20=</t>
  </si>
  <si>
    <t>φ+60=</t>
  </si>
  <si>
    <r>
      <rPr>
        <sz val="12"/>
        <color theme="1"/>
        <rFont val="Calibri"/>
        <family val="2"/>
        <charset val="238"/>
      </rPr>
      <t>ψ</t>
    </r>
    <r>
      <rPr>
        <sz val="12"/>
        <color theme="1"/>
        <rFont val="Times New Roman"/>
        <family val="1"/>
        <charset val="238"/>
      </rPr>
      <t>-20=</t>
    </r>
  </si>
  <si>
    <t>a-20</t>
  </si>
  <si>
    <t>b-20</t>
  </si>
  <si>
    <t>c-20</t>
  </si>
  <si>
    <t>d-20</t>
  </si>
  <si>
    <t>y-20</t>
  </si>
  <si>
    <r>
      <rPr>
        <sz val="12"/>
        <color theme="1"/>
        <rFont val="Calibri"/>
        <family val="2"/>
        <charset val="238"/>
      </rPr>
      <t>ψ+6</t>
    </r>
    <r>
      <rPr>
        <sz val="12"/>
        <color theme="1"/>
        <rFont val="Times New Roman"/>
        <family val="1"/>
        <charset val="238"/>
      </rPr>
      <t>0=</t>
    </r>
  </si>
  <si>
    <t>a+60</t>
  </si>
  <si>
    <t>b+60</t>
  </si>
  <si>
    <t>c+60</t>
  </si>
  <si>
    <t>d+60</t>
  </si>
  <si>
    <t>y+60</t>
  </si>
  <si>
    <t>Ft-20=</t>
  </si>
  <si>
    <t>Ft+60=</t>
  </si>
  <si>
    <t>Ft=</t>
  </si>
  <si>
    <t>χ-20=</t>
  </si>
  <si>
    <t>χ+60=</t>
  </si>
  <si>
    <r>
      <rPr>
        <sz val="12"/>
        <color theme="1"/>
        <rFont val="Calibri"/>
        <family val="2"/>
        <charset val="238"/>
      </rPr>
      <t>δm-20</t>
    </r>
    <r>
      <rPr>
        <sz val="12"/>
        <color theme="1"/>
        <rFont val="Times New Roman"/>
        <family val="1"/>
        <charset val="238"/>
      </rPr>
      <t>=</t>
    </r>
  </si>
  <si>
    <r>
      <rPr>
        <sz val="12"/>
        <color theme="1"/>
        <rFont val="Calibri"/>
        <family val="2"/>
        <charset val="238"/>
      </rPr>
      <t>δm+60</t>
    </r>
    <r>
      <rPr>
        <sz val="12"/>
        <color theme="1"/>
        <rFont val="Times New Roman"/>
        <family val="1"/>
        <charset val="238"/>
      </rPr>
      <t>=</t>
    </r>
  </si>
  <si>
    <t>Ff-20=</t>
  </si>
  <si>
    <t>Ff+60=</t>
  </si>
  <si>
    <t>Ff=</t>
  </si>
  <si>
    <r>
      <rPr>
        <sz val="16"/>
        <color theme="1"/>
        <rFont val="Calibri"/>
        <family val="2"/>
        <charset val="238"/>
      </rPr>
      <t>ε</t>
    </r>
    <r>
      <rPr>
        <sz val="12"/>
        <color theme="1"/>
        <rFont val="Times New Roman"/>
        <family val="1"/>
        <charset val="238"/>
      </rPr>
      <t>ela=</t>
    </r>
  </si>
  <si>
    <r>
      <rPr>
        <sz val="16"/>
        <color theme="1"/>
        <rFont val="Calibri"/>
        <family val="2"/>
        <charset val="238"/>
      </rPr>
      <t>ε</t>
    </r>
    <r>
      <rPr>
        <sz val="12"/>
        <color theme="1"/>
        <rFont val="Calibri"/>
        <family val="2"/>
        <charset val="238"/>
      </rPr>
      <t>th</t>
    </r>
    <r>
      <rPr>
        <sz val="12"/>
        <color theme="1"/>
        <rFont val="Times New Roman"/>
        <family val="1"/>
        <charset val="238"/>
      </rPr>
      <t>=</t>
    </r>
  </si>
  <si>
    <t>cth=</t>
  </si>
  <si>
    <t>m^4/A^2s</t>
  </si>
  <si>
    <t>CD=</t>
  </si>
  <si>
    <t>CF=</t>
  </si>
  <si>
    <t>bh=</t>
  </si>
  <si>
    <t>lc=</t>
  </si>
  <si>
    <t>li=</t>
  </si>
  <si>
    <t>amin=</t>
  </si>
  <si>
    <t>Ik''=</t>
  </si>
  <si>
    <t>ZAKLJUČAK:</t>
  </si>
  <si>
    <t>Fmax=</t>
  </si>
  <si>
    <t>Fm=</t>
  </si>
  <si>
    <t>ds=</t>
  </si>
  <si>
    <t>ks=</t>
  </si>
  <si>
    <t>ls=</t>
  </si>
  <si>
    <t>k12s=</t>
  </si>
  <si>
    <t>k13s=</t>
  </si>
  <si>
    <t>a12=</t>
  </si>
  <si>
    <t>a13=</t>
  </si>
  <si>
    <t>as=</t>
  </si>
  <si>
    <t>Fs=</t>
  </si>
  <si>
    <t>Zs=</t>
  </si>
  <si>
    <t>c=</t>
  </si>
  <si>
    <t>fcs=</t>
  </si>
  <si>
    <t>fcs/f=</t>
  </si>
  <si>
    <r>
      <t>V</t>
    </r>
    <r>
      <rPr>
        <sz val="12"/>
        <color theme="1"/>
        <rFont val="Calibri"/>
        <family val="2"/>
        <charset val="238"/>
      </rPr>
      <t>σs</t>
    </r>
    <r>
      <rPr>
        <sz val="12"/>
        <color theme="1"/>
        <rFont val="Times New Roman"/>
        <family val="1"/>
        <charset val="238"/>
      </rPr>
      <t>=</t>
    </r>
  </si>
  <si>
    <t>Vrs=</t>
  </si>
  <si>
    <t>σm=</t>
  </si>
  <si>
    <t>σs=</t>
  </si>
  <si>
    <t>σtot=</t>
  </si>
  <si>
    <t>m^2</t>
  </si>
  <si>
    <t>nc=</t>
  </si>
  <si>
    <t>mc=</t>
  </si>
  <si>
    <t>ls1=</t>
  </si>
  <si>
    <t>ls2=</t>
  </si>
  <si>
    <t>ls3=</t>
  </si>
  <si>
    <t>ls4=</t>
  </si>
  <si>
    <t>kg</t>
  </si>
  <si>
    <t>msc'=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</si>
</sst>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E+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6"/>
      <color theme="1"/>
      <name val="Calibri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1" fontId="1" fillId="0" borderId="0" xfId="0" applyNumberFormat="1" applyFont="1"/>
    <xf numFmtId="11" fontId="4" fillId="0" borderId="0" xfId="0" applyNumberFormat="1" applyFont="1"/>
    <xf numFmtId="11" fontId="3" fillId="0" borderId="0" xfId="0" applyNumberFormat="1" applyFont="1"/>
    <xf numFmtId="11" fontId="2" fillId="0" borderId="0" xfId="0" applyNumberFormat="1" applyFont="1"/>
    <xf numFmtId="2" fontId="1" fillId="0" borderId="0" xfId="0" applyNumberFormat="1" applyFont="1"/>
    <xf numFmtId="11" fontId="5" fillId="0" borderId="0" xfId="0" applyNumberFormat="1" applyFont="1"/>
    <xf numFmtId="2" fontId="5" fillId="0" borderId="0" xfId="0" applyNumberFormat="1" applyFont="1"/>
    <xf numFmtId="11" fontId="1" fillId="0" borderId="1" xfId="0" applyNumberFormat="1" applyFont="1" applyBorder="1"/>
    <xf numFmtId="11" fontId="1" fillId="0" borderId="2" xfId="0" applyNumberFormat="1" applyFont="1" applyBorder="1"/>
    <xf numFmtId="11" fontId="1" fillId="0" borderId="3" xfId="0" applyNumberFormat="1" applyFont="1" applyBorder="1"/>
    <xf numFmtId="11" fontId="1" fillId="0" borderId="4" xfId="0" applyNumberFormat="1" applyFont="1" applyBorder="1"/>
    <xf numFmtId="11" fontId="1" fillId="0" borderId="0" xfId="0" applyNumberFormat="1" applyFont="1" applyBorder="1"/>
    <xf numFmtId="11" fontId="1" fillId="0" borderId="5" xfId="0" applyNumberFormat="1" applyFont="1" applyBorder="1"/>
    <xf numFmtId="11" fontId="1" fillId="0" borderId="6" xfId="0" applyNumberFormat="1" applyFont="1" applyBorder="1"/>
    <xf numFmtId="11" fontId="1" fillId="0" borderId="7" xfId="0" applyNumberFormat="1" applyFont="1" applyBorder="1"/>
    <xf numFmtId="11" fontId="1" fillId="0" borderId="8" xfId="0" applyNumberFormat="1" applyFont="1" applyBorder="1"/>
    <xf numFmtId="164" fontId="1" fillId="0" borderId="0" xfId="0" applyNumberFormat="1" applyFont="1"/>
    <xf numFmtId="11" fontId="5" fillId="0" borderId="0" xfId="0" applyNumberFormat="1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topLeftCell="A43" zoomScaleNormal="100" workbookViewId="0">
      <selection activeCell="B64" sqref="B64"/>
    </sheetView>
  </sheetViews>
  <sheetFormatPr defaultRowHeight="15.75" x14ac:dyDescent="0.25"/>
  <cols>
    <col min="1" max="1" width="21.7109375" style="2" customWidth="1"/>
    <col min="2" max="2" width="14" style="2" customWidth="1"/>
    <col min="3" max="3" width="12.42578125" style="2" bestFit="1" customWidth="1"/>
    <col min="4" max="4" width="9.85546875" style="2" bestFit="1" customWidth="1"/>
    <col min="5" max="16384" width="9.140625" style="2"/>
  </cols>
  <sheetData>
    <row r="1" spans="1:3" ht="18.75" x14ac:dyDescent="0.3">
      <c r="A1" s="3" t="s">
        <v>0</v>
      </c>
    </row>
    <row r="2" spans="1:3" x14ac:dyDescent="0.25">
      <c r="A2" s="2" t="s">
        <v>13</v>
      </c>
      <c r="B2" s="2">
        <v>16000</v>
      </c>
      <c r="C2" s="2" t="s">
        <v>16</v>
      </c>
    </row>
    <row r="3" spans="1:3" x14ac:dyDescent="0.25">
      <c r="A3" s="2" t="s">
        <v>37</v>
      </c>
      <c r="C3" s="2" t="s">
        <v>16</v>
      </c>
    </row>
    <row r="4" spans="1:3" x14ac:dyDescent="0.25">
      <c r="A4" s="2" t="s">
        <v>1</v>
      </c>
      <c r="B4" s="2">
        <v>1.35</v>
      </c>
    </row>
    <row r="5" spans="1:3" x14ac:dyDescent="0.25">
      <c r="A5" s="2" t="s">
        <v>2</v>
      </c>
      <c r="B5" s="2">
        <v>50</v>
      </c>
      <c r="C5" s="2" t="s">
        <v>3</v>
      </c>
    </row>
    <row r="6" spans="1:3" x14ac:dyDescent="0.25">
      <c r="A6" s="2" t="s">
        <v>39</v>
      </c>
      <c r="B6" s="2">
        <v>1</v>
      </c>
      <c r="C6" s="2" t="s">
        <v>5</v>
      </c>
    </row>
    <row r="7" spans="1:3" x14ac:dyDescent="0.25">
      <c r="A7" s="4" t="s">
        <v>17</v>
      </c>
      <c r="B7" s="2">
        <f>4*(10^-7)*PI()</f>
        <v>1.2566370614359173E-6</v>
      </c>
    </row>
    <row r="8" spans="1:3" x14ac:dyDescent="0.25">
      <c r="A8" s="2" t="s">
        <v>6</v>
      </c>
      <c r="B8" s="2">
        <v>0.2</v>
      </c>
      <c r="C8" s="2" t="s">
        <v>5</v>
      </c>
    </row>
    <row r="9" spans="1:3" x14ac:dyDescent="0.25">
      <c r="A9" s="2" t="s">
        <v>128</v>
      </c>
      <c r="B9" s="2">
        <v>0.02</v>
      </c>
      <c r="C9" s="2" t="s">
        <v>5</v>
      </c>
    </row>
    <row r="10" spans="1:3" x14ac:dyDescent="0.25">
      <c r="A10" s="2" t="s">
        <v>129</v>
      </c>
      <c r="B10" s="2">
        <v>0.04</v>
      </c>
      <c r="C10" s="2" t="s">
        <v>5</v>
      </c>
    </row>
    <row r="11" spans="1:3" x14ac:dyDescent="0.25">
      <c r="A11" s="2" t="s">
        <v>19</v>
      </c>
      <c r="B11" s="2">
        <v>1</v>
      </c>
    </row>
    <row r="12" spans="1:3" x14ac:dyDescent="0.25">
      <c r="A12" s="2" t="s">
        <v>126</v>
      </c>
      <c r="B12" s="2">
        <v>0.6</v>
      </c>
    </row>
    <row r="13" spans="1:3" x14ac:dyDescent="0.25">
      <c r="A13" s="2" t="s">
        <v>127</v>
      </c>
      <c r="B13" s="2">
        <v>0.78</v>
      </c>
    </row>
    <row r="14" spans="1:3" x14ac:dyDescent="0.25">
      <c r="A14" s="4" t="s">
        <v>23</v>
      </c>
      <c r="B14" s="2">
        <v>3.56</v>
      </c>
    </row>
    <row r="15" spans="1:3" x14ac:dyDescent="0.25">
      <c r="A15" s="4" t="s">
        <v>29</v>
      </c>
      <c r="B15" s="2">
        <v>0.73</v>
      </c>
    </row>
    <row r="16" spans="1:3" x14ac:dyDescent="0.25">
      <c r="A16" s="5" t="s">
        <v>33</v>
      </c>
      <c r="B16" s="2">
        <v>0.4</v>
      </c>
    </row>
    <row r="17" spans="1:3" x14ac:dyDescent="0.25">
      <c r="A17" s="5" t="s">
        <v>34</v>
      </c>
      <c r="B17" s="2">
        <v>1.1000000000000001</v>
      </c>
    </row>
    <row r="18" spans="1:3" x14ac:dyDescent="0.25">
      <c r="A18" s="2" t="s">
        <v>7</v>
      </c>
      <c r="B18" s="2">
        <v>0.06</v>
      </c>
      <c r="C18" s="2" t="s">
        <v>5</v>
      </c>
    </row>
    <row r="19" spans="1:3" x14ac:dyDescent="0.25">
      <c r="A19" s="2" t="s">
        <v>8</v>
      </c>
      <c r="B19" s="2">
        <v>0.01</v>
      </c>
      <c r="C19" s="2" t="s">
        <v>5</v>
      </c>
    </row>
    <row r="20" spans="1:3" x14ac:dyDescent="0.25">
      <c r="A20" s="2" t="s">
        <v>9</v>
      </c>
      <c r="B20" s="2">
        <v>1.62</v>
      </c>
      <c r="C20" s="2" t="s">
        <v>11</v>
      </c>
    </row>
    <row r="21" spans="1:3" x14ac:dyDescent="0.25">
      <c r="A21" s="2" t="s">
        <v>58</v>
      </c>
      <c r="B21" s="2">
        <f>7*10^10</f>
        <v>70000000000</v>
      </c>
      <c r="C21" s="2" t="s">
        <v>25</v>
      </c>
    </row>
    <row r="22" spans="1:3" x14ac:dyDescent="0.25">
      <c r="A22" s="2" t="s">
        <v>10</v>
      </c>
      <c r="B22" s="2">
        <v>120</v>
      </c>
      <c r="C22" s="2" t="s">
        <v>12</v>
      </c>
    </row>
    <row r="23" spans="1:3" x14ac:dyDescent="0.25">
      <c r="A23" s="2" t="s">
        <v>32</v>
      </c>
      <c r="B23" s="2">
        <v>1.5</v>
      </c>
    </row>
    <row r="24" spans="1:3" x14ac:dyDescent="0.25">
      <c r="A24" s="2" t="s">
        <v>44</v>
      </c>
      <c r="B24" s="2">
        <v>0</v>
      </c>
      <c r="C24" s="2" t="s">
        <v>5</v>
      </c>
    </row>
    <row r="25" spans="1:3" x14ac:dyDescent="0.25">
      <c r="A25" s="2" t="s">
        <v>45</v>
      </c>
      <c r="B25" s="2">
        <v>0</v>
      </c>
      <c r="C25" s="2" t="s">
        <v>5</v>
      </c>
    </row>
    <row r="26" spans="1:3" x14ac:dyDescent="0.25">
      <c r="A26" s="2" t="s">
        <v>63</v>
      </c>
      <c r="B26" s="2">
        <v>3</v>
      </c>
    </row>
    <row r="27" spans="1:3" x14ac:dyDescent="0.25">
      <c r="A27" s="2" t="s">
        <v>123</v>
      </c>
      <c r="B27" s="2">
        <v>0.01</v>
      </c>
      <c r="C27" s="2" t="s">
        <v>5</v>
      </c>
    </row>
    <row r="28" spans="1:3" x14ac:dyDescent="0.25">
      <c r="A28" s="2" t="s">
        <v>124</v>
      </c>
      <c r="B28" s="2">
        <v>2</v>
      </c>
    </row>
    <row r="29" spans="1:3" x14ac:dyDescent="0.25">
      <c r="A29" s="2" t="s">
        <v>125</v>
      </c>
      <c r="B29" s="2">
        <v>0.5</v>
      </c>
      <c r="C29" s="2" t="s">
        <v>5</v>
      </c>
    </row>
    <row r="30" spans="1:3" ht="18.75" x14ac:dyDescent="0.3">
      <c r="A30" s="3" t="s">
        <v>14</v>
      </c>
    </row>
    <row r="31" spans="1:3" x14ac:dyDescent="0.25">
      <c r="A31" s="2" t="s">
        <v>15</v>
      </c>
      <c r="B31" s="2">
        <f>SQRT(2)*B4*B2</f>
        <v>30547.012947258856</v>
      </c>
      <c r="C31" s="2" t="s">
        <v>16</v>
      </c>
    </row>
    <row r="32" spans="1:3" x14ac:dyDescent="0.25">
      <c r="A32" s="2" t="s">
        <v>38</v>
      </c>
      <c r="B32" s="2">
        <f>SQRT(2)*B4*B3</f>
        <v>0</v>
      </c>
      <c r="C32" s="2" t="s">
        <v>16</v>
      </c>
    </row>
    <row r="33" spans="1:3" x14ac:dyDescent="0.25">
      <c r="A33" s="2" t="s">
        <v>18</v>
      </c>
      <c r="B33" s="2">
        <f>B8/B11</f>
        <v>0.2</v>
      </c>
      <c r="C33" s="2" t="s">
        <v>5</v>
      </c>
    </row>
    <row r="34" spans="1:3" x14ac:dyDescent="0.25">
      <c r="A34" s="2" t="s">
        <v>122</v>
      </c>
      <c r="B34" s="2" cm="1">
        <f t="array" ref="B34">_xlfn.IFS(B2&gt;B3, (B7/(2*PI()))*(SQRT(3)/2)*(B31^2)*(B6/B33), B3&gt;=B2, (B7/(2*PI()))*(B32^2)*(B6/B33))</f>
        <v>808.10562477933559</v>
      </c>
      <c r="C34" s="2" t="s">
        <v>20</v>
      </c>
    </row>
    <row r="35" spans="1:3" x14ac:dyDescent="0.25">
      <c r="A35" s="2" t="s">
        <v>130</v>
      </c>
      <c r="B35" s="2">
        <f>IF(B29=0, 0, ((B12/B9)+(B13/B10))^-1)</f>
        <v>2.0202020202020204E-2</v>
      </c>
      <c r="C35" s="2" t="s">
        <v>5</v>
      </c>
    </row>
    <row r="36" spans="1:3" x14ac:dyDescent="0.25">
      <c r="A36" s="2" t="s">
        <v>131</v>
      </c>
      <c r="B36" s="2" cm="1">
        <f t="array" ref="B36">_xlfn.IFS(B29=0, 0, B2&gt;B3, (B7/(2*PI()))*((B31/B26)^2)*(B29/B35), B3&gt;=B2, (B7/(2*PI()))*((B32/B26)^2)*(B29/B35))</f>
        <v>513.21600000000001</v>
      </c>
      <c r="C36" s="2" t="s">
        <v>20</v>
      </c>
    </row>
    <row r="37" spans="1:3" x14ac:dyDescent="0.25">
      <c r="A37" s="2" t="s">
        <v>21</v>
      </c>
      <c r="B37" s="2">
        <f>(B18*(B19^3))/12</f>
        <v>5.0000000000000009E-9</v>
      </c>
      <c r="C37" s="2" t="s">
        <v>22</v>
      </c>
    </row>
    <row r="38" spans="1:3" x14ac:dyDescent="0.25">
      <c r="A38" s="2" t="s">
        <v>30</v>
      </c>
      <c r="B38" s="2">
        <f>IF(B29=0, B37/(B19/2), B26*(B37/(B19/2)))</f>
        <v>3.0000000000000005E-6</v>
      </c>
      <c r="C38" s="2" t="s">
        <v>31</v>
      </c>
    </row>
    <row r="39" spans="1:3" x14ac:dyDescent="0.25">
      <c r="A39" s="2" t="s">
        <v>132</v>
      </c>
      <c r="B39" s="2">
        <f>IF(B29=0, 0,  B37/(B19/2))</f>
        <v>1.0000000000000002E-6</v>
      </c>
      <c r="C39" s="2" t="s">
        <v>31</v>
      </c>
    </row>
    <row r="40" spans="1:3" x14ac:dyDescent="0.25">
      <c r="A40" s="2" t="s">
        <v>133</v>
      </c>
      <c r="B40" s="2" cm="1">
        <f t="array" ref="B40">_xlfn.IFS(B28=0, 1/SQRT(1), B28=1, 1/SQRT(1+(2.5*((B20*B18*B28)/(B26*B20*B6)))), AND(B28=2,(B29/B6)=0.5), 1/SQRT(1+(1.5*((B20*B18*B28)/(B26*B20*B6)))), AND(B28=2,ROUND(B29/B6,2)=0.33), 1/SQRT(1+(3*((B20*B18*B28)/(B26*B20*B6)))), B28=3, 1/SQRT(1+(4*((B20*B18*B28)/(B26*B20*B6)))), B28=4, 1/SQRT(1+(5*((B20*B18*B28)/(B26*B20*B6)))), B28=5, 1/SQRT(1+(6*((B20*B18*B28)/(B26*B20*B6)))), B28=6, 1/SQRT(1+(7*((B20*B18*B28)/(B26*B20*B6)))))</f>
        <v>0.97128586235726422</v>
      </c>
    </row>
    <row r="41" spans="1:3" x14ac:dyDescent="0.25">
      <c r="A41" s="2" t="s">
        <v>24</v>
      </c>
      <c r="B41" s="2">
        <f>IF(B29=0, (B14/B6^2)*SQRT((B21*B37)/B20), B40*(B14/B6^2)*SQRT((B21*B37)/B20))</f>
        <v>50.824554465282397</v>
      </c>
      <c r="C41" s="2" t="s">
        <v>3</v>
      </c>
    </row>
    <row r="42" spans="1:3" x14ac:dyDescent="0.25">
      <c r="A42" s="2" t="s">
        <v>134</v>
      </c>
      <c r="B42" s="2">
        <f>IF(B29=0, 0, (B14/(B29^2))*SQRT((B21*B37)/B20))</f>
        <v>209.30832594199873</v>
      </c>
      <c r="C42" s="2" t="s">
        <v>3</v>
      </c>
    </row>
    <row r="43" spans="1:3" x14ac:dyDescent="0.25">
      <c r="A43" s="2" t="s">
        <v>42</v>
      </c>
      <c r="B43" s="2">
        <f>B41/B5</f>
        <v>1.016491089305648</v>
      </c>
    </row>
    <row r="44" spans="1:3" x14ac:dyDescent="0.25">
      <c r="A44" s="2" t="s">
        <v>135</v>
      </c>
      <c r="B44" s="2">
        <f>B42/B5</f>
        <v>4.1861665188399746</v>
      </c>
    </row>
    <row r="45" spans="1:3" x14ac:dyDescent="0.25">
      <c r="A45" s="2" t="s">
        <v>43</v>
      </c>
      <c r="B45" s="2">
        <f>IF(B4&gt;1.6, 1.6, B4)</f>
        <v>1.35</v>
      </c>
    </row>
    <row r="46" spans="1:3" x14ac:dyDescent="0.25">
      <c r="A46" s="2" t="s">
        <v>26</v>
      </c>
      <c r="B46" s="2" cm="1">
        <f t="array" ref="B46">_xlfn.IFS(B43&lt;0.04, 0.232+(3.52*EXP(-1.45*B45))+0.166*LOG10(B43), AND(B43&gt;=0.8, B43&lt;=1.2), 1.8, AND(B43&gt;=1.2, B43&lt;=1.6), 1.23+(7.2*LOG10(B43)), AND(B43&gt;=1.6, B43&lt;=2.4), 2.7, AND(B43&gt;=2.4, B43&lt;=3), 8.59-(15.5*LOG10(B43)), AND(B43&gt;=3, B43&lt;=6), 1.5-(0.646*LOG10(B43)), B43&gt;6, 1, AND(B43&gt;=0.04, B43&lt;=0.8, (0.839+(3.52*EXP(-1.45*B45))+(0.6*LOG10(B43)))&gt;(2.38+(6*LOG10(B43)))), 0.839+(3.52*EXP(-1.45*B45))+(0.6*LOG10(B43)), AND(B43&gt;=0.04, B43&lt;=0.8, (0.839+(3.52*EXP(-1.45*B45))+(0.6*LOG10(B43)))&lt;(2.38+(6*LOG10(B43)))), (2.38+(6*LOG10(B43))))</f>
        <v>1.8</v>
      </c>
    </row>
    <row r="47" spans="1:3" x14ac:dyDescent="0.25">
      <c r="A47" s="2" t="s">
        <v>27</v>
      </c>
      <c r="B47" s="2" cm="1">
        <f t="array" ref="B47">_xlfn.IFS(B43&lt;0.04, 0.0929+(4.49*EXP(-1.68*B45))+0.0664*LOG10(B43), B43&gt;0.8, 1, AND(B43&gt;=0.04, B43&lt;=0.8, (0.756+(4.49*EXP(-1.68*B45))+(0.54*LOG10(B43)))&lt;1), (0.756+(4.49*EXP(-1.68*B45))+(0.54*LOG10(B43))), AND(B43&gt;=0.04, B43&lt;=0.8, (0.756+(4.49*EXP(-1.68*B45))+(0.54*LOG10(B43)))&gt;1), 1)</f>
        <v>1</v>
      </c>
    </row>
    <row r="48" spans="1:3" x14ac:dyDescent="0.25">
      <c r="A48" s="2" t="s">
        <v>28</v>
      </c>
      <c r="B48" s="2" cm="1">
        <f t="array" ref="B48">_xlfn.IFS(B43&lt;=0.05, 1.8, AND(B43&gt;0.05, B43&lt;1), 1-(0.615*LOG10(B43)), B43&gt;=1, 1)</f>
        <v>1</v>
      </c>
    </row>
    <row r="49" spans="1:18" x14ac:dyDescent="0.25">
      <c r="A49" s="2" t="s">
        <v>136</v>
      </c>
      <c r="B49" s="2" cm="1">
        <f t="array" ref="B49">_xlfn.IFS(B29=0, 0, B44&lt;0.04, 0.0929+(4.49*EXP(-1.68*B45))+0.0664*LOG10(B44), B44&gt;0.8, 1, AND(B44&gt;=0.04, B44&lt;=0.8, (0.756+(4.49*EXP(-1.68*B45))+(0.54*LOG10(B44)))&lt;1), (0.756+(4.49*EXP(-1.68*B45))+(0.54*LOG10(B44))), AND(B44&gt;=0.04, B44&lt;=0.8, (0.756+(4.49*EXP(-1.68*B45))+(0.54*LOG10(B44)))&gt;1), 1)</f>
        <v>1</v>
      </c>
    </row>
    <row r="50" spans="1:18" x14ac:dyDescent="0.25">
      <c r="A50" s="2" t="s">
        <v>137</v>
      </c>
      <c r="B50" s="2" cm="1">
        <f t="array" ref="B50">_xlfn.IFS(B29=0, 0, B44&lt;=0.05, 1.8, AND(B44&gt;0.05, B44&lt;1), 1-(0.615*LOG10(B44)), B44&gt;=1, 1)</f>
        <v>1</v>
      </c>
    </row>
    <row r="51" spans="1:18" x14ac:dyDescent="0.25">
      <c r="A51" s="2" t="s">
        <v>138</v>
      </c>
      <c r="B51" s="2">
        <f>B47*B48*B15*((B34*B6)/(8*B38))</f>
        <v>24579879.42037145</v>
      </c>
      <c r="C51" s="2" t="s">
        <v>25</v>
      </c>
      <c r="D51" s="2">
        <f>B51/10^6</f>
        <v>24.579879420371451</v>
      </c>
      <c r="E51" s="2" t="s">
        <v>12</v>
      </c>
    </row>
    <row r="52" spans="1:18" x14ac:dyDescent="0.25">
      <c r="A52" s="2" t="s">
        <v>139</v>
      </c>
      <c r="B52" s="2">
        <f>IF(B29=0, 0, B49*B50*((B36*B29)/(16*B39)))</f>
        <v>16037999.999999998</v>
      </c>
      <c r="C52" s="2" t="s">
        <v>25</v>
      </c>
      <c r="D52" s="2">
        <f t="shared" ref="D52:D53" si="0">B52/10^6</f>
        <v>16.037999999999997</v>
      </c>
      <c r="E52" s="2" t="s">
        <v>12</v>
      </c>
    </row>
    <row r="53" spans="1:18" x14ac:dyDescent="0.25">
      <c r="A53" s="2" t="s">
        <v>140</v>
      </c>
      <c r="B53" s="2">
        <f>B51+B52</f>
        <v>40617879.42037145</v>
      </c>
      <c r="C53" s="2" t="s">
        <v>25</v>
      </c>
      <c r="D53" s="2">
        <f t="shared" si="0"/>
        <v>40.617879420371452</v>
      </c>
      <c r="E53" s="2" t="s">
        <v>12</v>
      </c>
    </row>
    <row r="54" spans="1:18" x14ac:dyDescent="0.25">
      <c r="A54" s="2" t="s">
        <v>35</v>
      </c>
      <c r="B54" s="2">
        <f>B46*B48*B16*B34</f>
        <v>581.83604984112173</v>
      </c>
      <c r="C54" s="2" t="s">
        <v>20</v>
      </c>
    </row>
    <row r="55" spans="1:18" x14ac:dyDescent="0.25">
      <c r="A55" s="2" t="s">
        <v>36</v>
      </c>
      <c r="B55" s="2">
        <f>B46*B48*B17*B34</f>
        <v>1600.0491370630846</v>
      </c>
      <c r="C55" s="2" t="s">
        <v>20</v>
      </c>
    </row>
    <row r="56" spans="1:18" x14ac:dyDescent="0.25">
      <c r="A56" s="2" t="s">
        <v>46</v>
      </c>
      <c r="B56" s="2">
        <f>B24*B54</f>
        <v>0</v>
      </c>
      <c r="C56" s="2" t="s">
        <v>50</v>
      </c>
    </row>
    <row r="57" spans="1:18" x14ac:dyDescent="0.25">
      <c r="A57" s="2" t="s">
        <v>47</v>
      </c>
      <c r="B57" s="2">
        <f>B54*B25</f>
        <v>0</v>
      </c>
      <c r="C57" s="2" t="s">
        <v>50</v>
      </c>
    </row>
    <row r="58" spans="1:18" x14ac:dyDescent="0.25">
      <c r="A58" s="2" t="s">
        <v>48</v>
      </c>
      <c r="B58" s="2">
        <f>B55*B24</f>
        <v>0</v>
      </c>
      <c r="C58" s="2" t="s">
        <v>50</v>
      </c>
    </row>
    <row r="59" spans="1:18" x14ac:dyDescent="0.25">
      <c r="A59" s="2" t="s">
        <v>49</v>
      </c>
      <c r="B59" s="2">
        <f>B55*B25</f>
        <v>0</v>
      </c>
      <c r="C59" s="2" t="s">
        <v>50</v>
      </c>
    </row>
    <row r="60" spans="1:18" ht="18.75" x14ac:dyDescent="0.3">
      <c r="A60" s="3" t="s">
        <v>120</v>
      </c>
    </row>
    <row r="61" spans="1:18" ht="61.5" customHeight="1" x14ac:dyDescent="0.25">
      <c r="A61" s="19" t="str">
        <f>"Sabirnice su opterečene na savijanje sa σtot="&amp;ROUND(D53,3)&amp;" N/mm^2, na vanjske potporne izolatore djeluje sila FdA="&amp;ROUND(B54,3)&amp;" N, a na unutarnje potporne izolatore sila FdB="&amp;ROUND(B55,3)&amp;" N. "&amp;CHAR(10)&amp;"Na vanjske potporne izolatore djeluju momenti savijanja MiA="&amp;ROUND(B56,3)&amp;" Nm i MsA="&amp;ROUND(B57,3)&amp;" Nm, a na unutranje potporne izolatore momenti savijanja MiB="&amp;ROUND(B58,3)&amp;" Nm i MsB="&amp;ROUND(B59,3)&amp;" Nm."</f>
        <v>Sabirnice su opterečene na savijanje sa σtot=40.618 N/mm^2, na vanjske potporne izolatore djeluje sila FdA=581.836 N, a na unutarnje potporne izolatore sila FdB=1600.049 N. 
Na vanjske potporne izolatore djeluju momenti savijanja MiA=0 Nm i MsA=0 Nm, a na unutranje potporne izolatore momenti savijanja MiB=0 Nm i MsB=0 Nm.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x14ac:dyDescent="0.25">
      <c r="A62" s="8" t="str">
        <f>"Uređaj za zatezanje odabire se na temelju sila FdA="&amp;ROUND(B54,3)&amp;" N i FdB="&amp;ROUND(B55,3)&amp;" N."</f>
        <v>Uređaj za zatezanje odabire se na temelju sila FdA=581.836 N i FdB=1600.049 N.</v>
      </c>
      <c r="B62" s="6"/>
      <c r="C62" s="6"/>
      <c r="D62" s="6"/>
    </row>
    <row r="63" spans="1:18" x14ac:dyDescent="0.25">
      <c r="A63" s="8" t="str">
        <f>IF(AND(D53&lt;=(B22*B23), D52&lt;=B22), "Predloženi tip sabirnica može podnijeti naprezanje uzrokovano kratkim spojem.","Predloženi tip sabirnica ne može podnijeti naprezanje uzrokovano kratkim spojem.")</f>
        <v>Predloženi tip sabirnica može podnijeti naprezanje uzrokovano kratkim spojem.</v>
      </c>
      <c r="B63" s="6"/>
      <c r="C63" s="6"/>
      <c r="D63" s="6"/>
    </row>
    <row r="64" spans="1:18" x14ac:dyDescent="0.25">
      <c r="A64" s="6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6"/>
      <c r="B66" s="6"/>
      <c r="C66" s="6"/>
      <c r="D66" s="6"/>
    </row>
  </sheetData>
  <mergeCells count="1">
    <mergeCell ref="A61:R61"/>
  </mergeCells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E0C0-1153-4B69-A89A-3466B707ACA7}">
  <dimension ref="A1:R63"/>
  <sheetViews>
    <sheetView zoomScaleNormal="100" workbookViewId="0">
      <selection activeCell="B51" sqref="B51"/>
    </sheetView>
  </sheetViews>
  <sheetFormatPr defaultRowHeight="15.75" x14ac:dyDescent="0.25"/>
  <cols>
    <col min="1" max="1" width="26.7109375" style="1" customWidth="1"/>
    <col min="2" max="2" width="14" style="1" customWidth="1"/>
    <col min="3" max="3" width="12.42578125" style="1" bestFit="1" customWidth="1"/>
    <col min="4" max="4" width="12.140625" style="1" customWidth="1"/>
    <col min="5" max="16384" width="9.140625" style="1"/>
  </cols>
  <sheetData>
    <row r="1" spans="1:18" ht="18.75" x14ac:dyDescent="0.3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2" t="s">
        <v>13</v>
      </c>
      <c r="B2" s="2">
        <v>50000</v>
      </c>
      <c r="C2" s="2" t="s">
        <v>16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" t="s">
        <v>37</v>
      </c>
      <c r="B3" s="2"/>
      <c r="C3" s="2" t="s">
        <v>16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25">
      <c r="A4" s="2" t="s">
        <v>1</v>
      </c>
      <c r="B4" s="2">
        <v>1.81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2" t="s">
        <v>2</v>
      </c>
      <c r="B5" s="2">
        <v>50</v>
      </c>
      <c r="C5" s="2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x14ac:dyDescent="0.25">
      <c r="A6" s="2" t="s">
        <v>39</v>
      </c>
      <c r="B6" s="2">
        <v>18</v>
      </c>
      <c r="C6" s="2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x14ac:dyDescent="0.25">
      <c r="A7" s="4" t="s">
        <v>17</v>
      </c>
      <c r="B7" s="2">
        <f>4*(10^-7)*PI()</f>
        <v>1.2566370614359173E-6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x14ac:dyDescent="0.25">
      <c r="A8" s="2" t="s">
        <v>6</v>
      </c>
      <c r="B8" s="2">
        <v>5</v>
      </c>
      <c r="C8" s="2" t="s">
        <v>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5">
      <c r="A9" s="2" t="s">
        <v>128</v>
      </c>
      <c r="B9" s="2"/>
      <c r="C9" s="2" t="s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2" t="s">
        <v>129</v>
      </c>
      <c r="B10" s="2"/>
      <c r="C10" s="2" t="s">
        <v>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" t="s">
        <v>19</v>
      </c>
      <c r="B11" s="2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2" t="s">
        <v>126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2" t="s">
        <v>127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4" t="s">
        <v>23</v>
      </c>
      <c r="B14" s="2">
        <v>2.4500000000000002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4" t="s">
        <v>29</v>
      </c>
      <c r="B15" s="2">
        <v>0.73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5" t="s">
        <v>33</v>
      </c>
      <c r="B16" s="2">
        <v>0.375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5" t="s">
        <v>34</v>
      </c>
      <c r="B17" s="2">
        <v>1.25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2" t="s">
        <v>40</v>
      </c>
      <c r="B18" s="2">
        <v>0.16</v>
      </c>
      <c r="C18" s="2" t="s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2" t="s">
        <v>41</v>
      </c>
      <c r="B19" s="2">
        <v>6.0000000000000001E-3</v>
      </c>
      <c r="C19" s="2" t="s">
        <v>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2" t="s">
        <v>9</v>
      </c>
      <c r="B20" s="2">
        <v>7.84</v>
      </c>
      <c r="C20" s="2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2" t="s">
        <v>58</v>
      </c>
      <c r="B21" s="2">
        <f>7*10^10</f>
        <v>70000000000</v>
      </c>
      <c r="C21" s="2" t="s">
        <v>25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2" t="s">
        <v>10</v>
      </c>
      <c r="B22" s="2">
        <v>160</v>
      </c>
      <c r="C22" s="2" t="s">
        <v>12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2" t="s">
        <v>44</v>
      </c>
      <c r="B23" s="2">
        <v>3.7</v>
      </c>
      <c r="C23" s="2" t="s">
        <v>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2" t="s">
        <v>45</v>
      </c>
      <c r="B24" s="2">
        <v>7</v>
      </c>
      <c r="C24" s="2" t="s">
        <v>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2" t="s">
        <v>32</v>
      </c>
      <c r="B25" s="2">
        <f>1.7*((1-(1-((2*B19)/B18))^3)/(1-(1-((2*B19)/B18))^4))</f>
        <v>1.3233368181162051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2" t="s">
        <v>63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2" t="s">
        <v>123</v>
      </c>
      <c r="B27" s="2"/>
      <c r="C27" s="2" t="s">
        <v>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2" t="s">
        <v>124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 t="s">
        <v>125</v>
      </c>
      <c r="B29" s="2"/>
      <c r="C29" s="2" t="s">
        <v>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8.75" x14ac:dyDescent="0.3">
      <c r="A30" s="3" t="s">
        <v>14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" t="s">
        <v>15</v>
      </c>
      <c r="B31" s="2">
        <f>SQRT(2)*B4*B2</f>
        <v>127986.32739476512</v>
      </c>
      <c r="C31" s="2" t="s">
        <v>16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" t="s">
        <v>38</v>
      </c>
      <c r="B32" s="2">
        <f>SQRT(2)*B4*B3</f>
        <v>0</v>
      </c>
      <c r="C32" s="2" t="s">
        <v>16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" t="s">
        <v>18</v>
      </c>
      <c r="B33" s="2">
        <f>B8/B11</f>
        <v>5</v>
      </c>
      <c r="C33" s="2" t="s">
        <v>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" t="s">
        <v>122</v>
      </c>
      <c r="B34" s="2" cm="1">
        <f t="array" ref="B34">_xlfn.IFS(B2&gt;B3, (B7/(2*PI()))*(SQRT(3)/2)*(B31^2)*(B6/B33), B3&gt;=B2, (B7/(2*PI()))*(B32^2)*(B6/B33))</f>
        <v>10213.86897121752</v>
      </c>
      <c r="C34" s="2" t="s">
        <v>20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" t="s">
        <v>130</v>
      </c>
      <c r="B35" s="2">
        <f>IF(B29=0, 0, ((B12/B9)+(B13/B10))^-1)</f>
        <v>0</v>
      </c>
      <c r="C35" s="2" t="s">
        <v>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2" t="s">
        <v>131</v>
      </c>
      <c r="B36" s="2" cm="1">
        <f t="array" ref="B36">_xlfn.IFS(B29=0, 0, B2&gt;B3, (B7/(2*PI()))*((B31/B26)^2)*(B29/B35), B3&gt;=B2, (B7/(2*PI()))*((B32/B26)^2)*(B29/B35))</f>
        <v>0</v>
      </c>
      <c r="C36" s="2" t="s">
        <v>20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2" t="s">
        <v>21</v>
      </c>
      <c r="B37" s="2">
        <f>(PI()/64)*((B18^4)-(B18-(2*B19))^4)</f>
        <v>8.61850705578149E-6</v>
      </c>
      <c r="C37" s="2" t="s">
        <v>22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2" t="s">
        <v>30</v>
      </c>
      <c r="B38" s="2">
        <f>IF(B29=0, B37/(B18/2), B26*B37/(B18/2))</f>
        <v>1.0773133819726863E-4</v>
      </c>
      <c r="C38" s="2" t="s">
        <v>31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5">
      <c r="A39" s="2" t="s">
        <v>132</v>
      </c>
      <c r="B39" s="2">
        <f>IF(B29=0, 0,  B37/(B18/2))</f>
        <v>0</v>
      </c>
      <c r="C39" s="2" t="s">
        <v>31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5">
      <c r="A40" s="2" t="s">
        <v>133</v>
      </c>
      <c r="B40" s="2" cm="1">
        <f t="array" ref="B40">_xlfn.IFS(B28=0, 1/SQRT(1), B28=1, 1/SQRT(1+(2.5*((B20*B18*B28)/(B26*B20*B6)))), AND(B28=2,(B29/B6)=0.5), 1/SQRT(1+(1.5*((B20*B18*B28)/(B26*B20*B6)))), AND(B28=2,ROUND(B29/B6,2)=0.33), 1/SQRT(1+(3*((B20*B18*B28)/(B26*B20*B6)))), B28=3, 1/SQRT(1+(4*((B20*B18*B28)/(B26*B20*B6)))), B28=4, 1/SQRT(1+(5*((B20*B18*B28)/(B26*B20*B6)))), B28=5, 1/SQRT(1+(6*((B20*B18*B28)/(B26*B20*B6)))), B28=6, 1/SQRT(1+(7*((B20*B18*B28)/(B26*B20*B6)))))</f>
        <v>1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5">
      <c r="A41" s="2" t="s">
        <v>24</v>
      </c>
      <c r="B41" s="2">
        <f>IF(B29=0, (B14/B6^2)*SQRT((B21*B37)/B20), B40*(B14/B6^2)*SQRT((B21*B37)/B20))</f>
        <v>2.0976261262256384</v>
      </c>
      <c r="C41" s="2" t="s">
        <v>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5">
      <c r="A42" s="2" t="s">
        <v>134</v>
      </c>
      <c r="B42" s="2">
        <f>IF(B29=0, 0, (B14/(B29^2))*SQRT((B21*B37)/B20))</f>
        <v>0</v>
      </c>
      <c r="C42" s="2" t="s">
        <v>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25">
      <c r="A43" s="2" t="s">
        <v>42</v>
      </c>
      <c r="B43" s="2">
        <f>B41/B5</f>
        <v>4.1952522524512766E-2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25">
      <c r="A44" s="2" t="s">
        <v>135</v>
      </c>
      <c r="B44" s="2">
        <f>B42/B5</f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5">
      <c r="A45" s="2" t="s">
        <v>43</v>
      </c>
      <c r="B45" s="2">
        <f>IF(B4&gt;1.6, 1.6, B4)</f>
        <v>1.6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5">
      <c r="A46" s="2" t="s">
        <v>26</v>
      </c>
      <c r="B46" s="2" cm="1">
        <f t="array" ref="B46">_xlfn.IFS(B43&lt;0.04, 0.232+(3.52*EXP(-1.45*B45))+0.166*LOG10(B43), AND(B43&gt;=0.8, B43&lt;=1.2), 1.8, AND(B43&gt;=1.2, B43&lt;=1.6), 1.23+(7.2*LOG10(B43)), AND(B43&gt;=1.6, B43&lt;=2.4), 2.7, AND(B43&gt;=2.4, B43&lt;=3), 8.59-(15.5*LOG10(B43)), AND(B43&gt;=3, B43&lt;=6), 1.5-(0.646*LOG10(B43)), B43&gt;6, 1, AND(B43&gt;=0.04, B43&lt;=0.8, (0.839+(3.52*EXP(-1.45*B45))+(0.6*LOG10(B43)))&gt;(2.38+(6*LOG10(B43)))), 0.839+(3.52*EXP(-1.45*B45))+(0.6*LOG10(B43)), AND(B43&gt;=0.04, B43&lt;=0.8, (0.839+(3.52*EXP(-1.45*B45))+(0.6*LOG10(B43)))&lt;(2.38+(6*LOG10(B43)))), (2.38+(6*LOG10(B43))))</f>
        <v>0.35857786887252485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5">
      <c r="A47" s="2" t="s">
        <v>27</v>
      </c>
      <c r="B47" s="2" cm="1">
        <f t="array" ref="B47">_xlfn.IFS(B43&lt;0.04, 0.0929+(4.49*EXP(-1.68*B45))+0.0664*LOG10(B43), B43&gt;0.8, 1, AND(B43&gt;=0.04, B43&lt;=0.8, (0.756+(4.49*EXP(-1.68*B45))+(0.54*LOG10(B43)))&lt;1), (0.756+(4.49*EXP(-1.68*B45))+(0.54*LOG10(B43))), AND(B43&gt;=0.04, B43&lt;=0.8, (0.756+(4.49*EXP(-1.68*B45))+(0.54*LOG10(B43)))&gt;1), 1)</f>
        <v>0.31768496138284141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5">
      <c r="A48" s="2" t="s">
        <v>28</v>
      </c>
      <c r="B48" s="2" cm="1">
        <f t="array" ref="B48">_xlfn.IFS(B43&lt;=0.05, 1.8, AND(B43&gt;0.05, B43&lt;1), 1-(0.615*LOG10(B43)), B43&gt;=1, 1)</f>
        <v>1.8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5">
      <c r="A49" s="2" t="s">
        <v>136</v>
      </c>
      <c r="B49" s="2" cm="1">
        <f t="array" ref="B49">_xlfn.IFS(B29=0, 0, B44&lt;0.04, 0.0929+(4.49*EXP(-1.68*B45))+0.0664*LOG10(B44), B44&gt;0.8, 1, AND(B44&gt;=0.04, B44&lt;=0.8, (0.756+(4.49*EXP(-1.68*B45))+(0.54*LOG10(B44)))&lt;1), (0.756+(4.49*EXP(-1.68*B45))+(0.54*LOG10(B44))), AND(B44&gt;=0.04, B44&lt;=0.8, (0.756+(4.49*EXP(-1.68*B45))+(0.54*LOG10(B44)))&gt;1), 1)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5">
      <c r="A50" s="2" t="s">
        <v>137</v>
      </c>
      <c r="B50" s="2" cm="1">
        <f t="array" ref="B50">_xlfn.IFS(B29=0, 0, B44&lt;=0.05, 1.8, AND(B44&gt;0.05, B44&lt;1), 1-(0.615*LOG10(B44)), B44&gt;=1, 1)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5">
      <c r="A51" s="2" t="s">
        <v>138</v>
      </c>
      <c r="B51" s="2">
        <f>B47*B48*B15*((B34*B6)/(8*B38))</f>
        <v>89047712.511693284</v>
      </c>
      <c r="C51" s="2" t="s">
        <v>25</v>
      </c>
      <c r="D51" s="2">
        <f>B51/10^6</f>
        <v>89.047712511693277</v>
      </c>
      <c r="E51" s="2" t="s">
        <v>12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5">
      <c r="A52" s="2" t="s">
        <v>139</v>
      </c>
      <c r="B52" s="2">
        <f>IF(B29=0, 0, B49*B50*((B36*B29)/(16*B39)))</f>
        <v>0</v>
      </c>
      <c r="C52" s="2" t="s">
        <v>25</v>
      </c>
      <c r="D52" s="2">
        <f t="shared" ref="D52:D53" si="0">B52/10^6</f>
        <v>0</v>
      </c>
      <c r="E52" s="2" t="s">
        <v>12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5">
      <c r="A53" s="2" t="s">
        <v>140</v>
      </c>
      <c r="B53" s="2">
        <f>B52+B51</f>
        <v>89047712.511693284</v>
      </c>
      <c r="C53" s="2" t="s">
        <v>25</v>
      </c>
      <c r="D53" s="2">
        <f t="shared" si="0"/>
        <v>89.047712511693277</v>
      </c>
      <c r="E53" s="2" t="s">
        <v>12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5">
      <c r="A54" s="2" t="s">
        <v>35</v>
      </c>
      <c r="B54" s="2">
        <f>B46*B48*B16*B34</f>
        <v>2472.1654738336106</v>
      </c>
      <c r="C54" s="2" t="s">
        <v>20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5">
      <c r="A55" s="2" t="s">
        <v>36</v>
      </c>
      <c r="B55" s="2">
        <f>B46*B48*B17*B34</f>
        <v>8240.5515794453677</v>
      </c>
      <c r="C55" s="2" t="s">
        <v>20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5">
      <c r="A56" s="2" t="s">
        <v>46</v>
      </c>
      <c r="B56" s="2">
        <f>B23*B54</f>
        <v>9147.012253184359</v>
      </c>
      <c r="C56" s="2" t="s">
        <v>50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 t="s">
        <v>47</v>
      </c>
      <c r="B57" s="2">
        <f>B54*B24</f>
        <v>17305.158316835274</v>
      </c>
      <c r="C57" s="2" t="s">
        <v>50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 t="s">
        <v>48</v>
      </c>
      <c r="B58" s="2">
        <f>B55*B23</f>
        <v>30490.040843947863</v>
      </c>
      <c r="C58" s="2" t="s">
        <v>50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 t="s">
        <v>49</v>
      </c>
      <c r="B59" s="2">
        <f>B55*B24</f>
        <v>57683.861056117574</v>
      </c>
      <c r="C59" s="2" t="s">
        <v>50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8.75" x14ac:dyDescent="0.3">
      <c r="A60" s="3" t="s">
        <v>120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12.5" customHeight="1" x14ac:dyDescent="0.25">
      <c r="A61" s="19" t="str">
        <f>"Sabirnice su opterečene na savijanje sa σtot="&amp;ROUND(D53,3)&amp;" N/mm^2,"&amp;CHAR(10)&amp;"na vanjske potporne izolatore djeluje sila FdA="&amp;ROUND(B54,3)&amp;" N,"&amp;CHAR(10)&amp;"a na unutarnje potporne izolatore sila FdB="&amp;ROUND(B55,3)&amp;" N. "&amp;CHAR(10)&amp;"Na vanjske potporne izolatore djeluju momenti savijanja "&amp;CHAR(10)&amp;"MiA="&amp;ROUND(B56,3)&amp;" Nm i MsA="&amp;ROUND(B57,3)&amp;" Nm,"&amp;CHAR(10)&amp;"a na unutranje potporne izolatore momenti savijanja "&amp;CHAR(10)&amp;"MiB="&amp;ROUND(B58,3)&amp;" Nm i MsB="&amp;ROUND(B59,3)&amp;" Nm."</f>
        <v>Sabirnice su opterečene na savijanje sa σtot=89.048 N/mm^2,
na vanjske potporne izolatore djeluje sila FdA=2472.165 N,
a na unutarnje potporne izolatore sila FdB=8240.552 N. 
Na vanjske potporne izolatore djeluju momenti savijanja 
MiA=9147.012 Nm i MsA=17305.158 Nm,
a na unutranje potporne izolatore momenti savijanja 
MiB=30490.041 Nm i MsB=57683.861 Nm.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spans="1:18" ht="30.75" customHeight="1" x14ac:dyDescent="0.25">
      <c r="A62" s="19" t="str">
        <f>"Uređaj za zatezanje odabire se na temelju sila "&amp;CHAR(10)&amp;"FdA="&amp;ROUND(B54,3)&amp;" N i FdB="&amp;ROUND(B55,3)&amp;" N."</f>
        <v>Uređaj za zatezanje odabire se na temelju sila 
FdA=2472.165 N i FdB=8240.552 N.</v>
      </c>
      <c r="B62" s="19"/>
      <c r="C62" s="19"/>
      <c r="D62" s="19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32.25" customHeight="1" x14ac:dyDescent="0.25">
      <c r="A63" s="19" t="str">
        <f>IF(AND(D53&lt;=(B22*B25), D52&lt;=B22),"Predloženi tip sabirnica može podnijeti "&amp;CHAR(10)&amp;"naprezanje uzrokovano kratkim spojem.","Predloženi tip sabirnica ne može podnijeti "&amp;CHAR(10)&amp;"naprezanje uzrokovano kratkim spojem.")</f>
        <v>Predloženi tip sabirnica može podnijeti 
naprezanje uzrokovano kratkim spojem.</v>
      </c>
      <c r="B63" s="19"/>
      <c r="C63" s="19"/>
      <c r="D63" s="19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</sheetData>
  <mergeCells count="3">
    <mergeCell ref="A61:R61"/>
    <mergeCell ref="A62:E62"/>
    <mergeCell ref="A63:E63"/>
  </mergeCells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DA6A-F97F-4353-A6BC-F0FB01CC3589}">
  <dimension ref="A1:J74"/>
  <sheetViews>
    <sheetView topLeftCell="A70" zoomScaleNormal="100" workbookViewId="0">
      <selection activeCell="B9" sqref="B9"/>
    </sheetView>
  </sheetViews>
  <sheetFormatPr defaultColWidth="16" defaultRowHeight="15.75" x14ac:dyDescent="0.25"/>
  <cols>
    <col min="1" max="1" width="17" style="18" customWidth="1"/>
    <col min="2" max="2" width="16.5703125" style="18" bestFit="1" customWidth="1"/>
    <col min="3" max="16384" width="16" style="18"/>
  </cols>
  <sheetData>
    <row r="1" spans="1:10" ht="18.75" x14ac:dyDescent="0.3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119</v>
      </c>
      <c r="B2" s="2">
        <v>19000</v>
      </c>
      <c r="C2" s="2" t="s">
        <v>16</v>
      </c>
      <c r="D2" s="2"/>
      <c r="E2" s="2"/>
      <c r="F2" s="2"/>
      <c r="G2" s="2"/>
      <c r="H2" s="2"/>
      <c r="I2" s="2"/>
      <c r="J2" s="2"/>
    </row>
    <row r="3" spans="1:10" x14ac:dyDescent="0.25">
      <c r="A3" s="2" t="s">
        <v>2</v>
      </c>
      <c r="B3" s="2">
        <v>50</v>
      </c>
      <c r="C3" s="2" t="s">
        <v>3</v>
      </c>
      <c r="D3" s="2"/>
      <c r="E3" s="2"/>
      <c r="F3" s="2"/>
      <c r="G3" s="2"/>
      <c r="H3" s="2"/>
      <c r="I3" s="2"/>
      <c r="J3" s="2"/>
    </row>
    <row r="4" spans="1:10" x14ac:dyDescent="0.25">
      <c r="A4" s="2" t="s">
        <v>51</v>
      </c>
      <c r="B4" s="2">
        <v>0.3</v>
      </c>
      <c r="C4" s="2" t="s">
        <v>52</v>
      </c>
      <c r="D4" s="2"/>
      <c r="E4" s="2"/>
      <c r="F4" s="2"/>
      <c r="G4" s="2"/>
      <c r="H4" s="2"/>
      <c r="I4" s="2"/>
      <c r="J4" s="2"/>
    </row>
    <row r="5" spans="1:10" x14ac:dyDescent="0.25">
      <c r="A5" s="2" t="s">
        <v>1</v>
      </c>
      <c r="B5" s="2">
        <v>1.81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2" t="s">
        <v>4</v>
      </c>
      <c r="B6" s="2">
        <v>11.5</v>
      </c>
      <c r="C6" s="2" t="s">
        <v>5</v>
      </c>
      <c r="D6" s="2"/>
      <c r="E6" s="2"/>
      <c r="F6" s="2"/>
      <c r="G6" s="2"/>
      <c r="H6" s="2"/>
      <c r="I6" s="2"/>
      <c r="J6" s="2"/>
    </row>
    <row r="7" spans="1:10" x14ac:dyDescent="0.25">
      <c r="A7" s="2" t="s">
        <v>117</v>
      </c>
      <c r="B7" s="2"/>
      <c r="C7" s="2" t="s">
        <v>5</v>
      </c>
      <c r="D7" s="2"/>
      <c r="E7" s="2"/>
      <c r="F7" s="2"/>
      <c r="G7" s="2"/>
      <c r="H7" s="2"/>
      <c r="I7" s="2"/>
      <c r="J7" s="2"/>
    </row>
    <row r="8" spans="1:10" x14ac:dyDescent="0.25">
      <c r="A8" s="2" t="s">
        <v>6</v>
      </c>
      <c r="B8" s="2"/>
      <c r="C8" s="2" t="s">
        <v>5</v>
      </c>
      <c r="D8" s="2"/>
      <c r="E8" s="2"/>
      <c r="F8" s="2"/>
      <c r="G8" s="2"/>
      <c r="H8" s="2"/>
      <c r="I8" s="2"/>
      <c r="J8" s="2"/>
    </row>
    <row r="9" spans="1:10" x14ac:dyDescent="0.25">
      <c r="A9" s="2" t="s">
        <v>53</v>
      </c>
      <c r="B9" s="2">
        <v>1.6</v>
      </c>
      <c r="C9" s="2" t="s">
        <v>5</v>
      </c>
      <c r="D9" s="2"/>
      <c r="E9" s="2"/>
      <c r="F9" s="2"/>
      <c r="G9" s="2"/>
      <c r="H9" s="2"/>
      <c r="I9" s="2"/>
      <c r="J9" s="2"/>
    </row>
    <row r="10" spans="1:10" x14ac:dyDescent="0.25">
      <c r="A10" s="4" t="s">
        <v>54</v>
      </c>
      <c r="B10" s="2">
        <v>2.4</v>
      </c>
      <c r="C10" s="2" t="s">
        <v>5</v>
      </c>
      <c r="D10" s="4"/>
      <c r="E10" s="2"/>
      <c r="F10" s="2"/>
      <c r="G10" s="2"/>
      <c r="H10" s="2"/>
      <c r="I10" s="2"/>
      <c r="J10" s="2"/>
    </row>
    <row r="11" spans="1:10" x14ac:dyDescent="0.25">
      <c r="A11" s="2" t="s">
        <v>55</v>
      </c>
      <c r="B11" s="2">
        <v>100000</v>
      </c>
      <c r="C11" s="2" t="s">
        <v>76</v>
      </c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56</v>
      </c>
      <c r="B12" s="2">
        <v>2.42E-4</v>
      </c>
      <c r="C12" s="2" t="s">
        <v>141</v>
      </c>
      <c r="D12" s="2"/>
      <c r="E12" s="2"/>
      <c r="F12" s="2"/>
      <c r="G12" s="2"/>
      <c r="H12" s="2"/>
      <c r="I12" s="2"/>
      <c r="J12" s="2"/>
    </row>
    <row r="13" spans="1:10" x14ac:dyDescent="0.25">
      <c r="A13" s="4" t="s">
        <v>57</v>
      </c>
      <c r="B13" s="2">
        <v>0.67</v>
      </c>
      <c r="C13" s="2" t="s">
        <v>11</v>
      </c>
      <c r="D13" s="2"/>
      <c r="E13" s="2"/>
      <c r="F13" s="2"/>
      <c r="G13" s="2"/>
      <c r="H13" s="2"/>
      <c r="I13" s="2"/>
      <c r="J13" s="2"/>
    </row>
    <row r="14" spans="1:10" x14ac:dyDescent="0.25">
      <c r="A14" s="4" t="s">
        <v>58</v>
      </c>
      <c r="B14" s="2">
        <v>55000000000</v>
      </c>
      <c r="C14" s="2" t="s">
        <v>25</v>
      </c>
      <c r="D14" s="2"/>
      <c r="E14" s="2"/>
      <c r="F14" s="2"/>
      <c r="G14" s="2"/>
      <c r="H14" s="2"/>
      <c r="I14" s="2"/>
      <c r="J14" s="2"/>
    </row>
    <row r="15" spans="1:10" x14ac:dyDescent="0.25">
      <c r="A15" s="4" t="s">
        <v>123</v>
      </c>
      <c r="B15" s="2"/>
      <c r="C15" s="2" t="s">
        <v>5</v>
      </c>
      <c r="D15" s="2"/>
      <c r="E15" s="2"/>
      <c r="F15" s="2"/>
      <c r="G15" s="2"/>
      <c r="H15" s="2"/>
      <c r="I15" s="2"/>
      <c r="J15" s="2"/>
    </row>
    <row r="16" spans="1:10" x14ac:dyDescent="0.25">
      <c r="A16" s="5" t="s">
        <v>59</v>
      </c>
      <c r="B16" s="2">
        <v>400</v>
      </c>
      <c r="C16" s="2" t="s">
        <v>20</v>
      </c>
      <c r="D16" s="2"/>
      <c r="E16" s="2"/>
      <c r="F16" s="2"/>
      <c r="G16" s="2"/>
      <c r="H16" s="2"/>
      <c r="I16" s="2"/>
      <c r="J16" s="2"/>
    </row>
    <row r="17" spans="1:10" x14ac:dyDescent="0.25">
      <c r="A17" s="5" t="s">
        <v>69</v>
      </c>
      <c r="B17" s="2">
        <v>273</v>
      </c>
      <c r="C17" s="2" t="s">
        <v>20</v>
      </c>
      <c r="D17" s="2"/>
      <c r="E17" s="2"/>
      <c r="F17" s="2"/>
      <c r="G17" s="2"/>
      <c r="H17" s="2"/>
      <c r="I17" s="2"/>
      <c r="J17" s="2"/>
    </row>
    <row r="18" spans="1:10" x14ac:dyDescent="0.25">
      <c r="A18" s="5" t="s">
        <v>142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5" t="s">
        <v>143</v>
      </c>
      <c r="B19" s="2"/>
      <c r="C19" s="2" t="s">
        <v>148</v>
      </c>
      <c r="D19" s="2"/>
      <c r="E19" s="2"/>
      <c r="F19" s="2"/>
      <c r="G19" s="2"/>
      <c r="H19" s="2"/>
      <c r="I19" s="2"/>
      <c r="J19" s="2"/>
    </row>
    <row r="20" spans="1:10" x14ac:dyDescent="0.25">
      <c r="A20" s="5" t="s">
        <v>144</v>
      </c>
      <c r="B20" s="2"/>
      <c r="C20" s="2" t="s">
        <v>5</v>
      </c>
      <c r="D20" s="2"/>
      <c r="E20" s="2"/>
      <c r="F20" s="2"/>
      <c r="G20" s="2"/>
      <c r="H20" s="2"/>
      <c r="I20" s="2"/>
      <c r="J20" s="2"/>
    </row>
    <row r="21" spans="1:10" x14ac:dyDescent="0.25">
      <c r="A21" s="5" t="s">
        <v>145</v>
      </c>
      <c r="B21" s="2"/>
      <c r="C21" s="2" t="s">
        <v>5</v>
      </c>
      <c r="D21" s="2"/>
      <c r="E21" s="2"/>
      <c r="F21" s="2"/>
      <c r="G21" s="2"/>
      <c r="H21" s="2"/>
      <c r="I21" s="2"/>
      <c r="J21" s="2"/>
    </row>
    <row r="22" spans="1:10" x14ac:dyDescent="0.25">
      <c r="A22" s="5" t="s">
        <v>146</v>
      </c>
      <c r="B22" s="2"/>
      <c r="C22" s="2" t="s">
        <v>5</v>
      </c>
      <c r="D22" s="2"/>
      <c r="E22" s="2"/>
      <c r="F22" s="2"/>
      <c r="G22" s="2"/>
      <c r="H22" s="2"/>
      <c r="I22" s="2"/>
      <c r="J22" s="2"/>
    </row>
    <row r="23" spans="1:10" x14ac:dyDescent="0.25">
      <c r="A23" s="5" t="s">
        <v>147</v>
      </c>
      <c r="B23" s="2"/>
      <c r="C23" s="2" t="s">
        <v>5</v>
      </c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60</v>
      </c>
      <c r="B24" s="2">
        <v>9.81</v>
      </c>
      <c r="C24" s="2" t="s">
        <v>61</v>
      </c>
      <c r="D24" s="2"/>
      <c r="E24" s="2"/>
      <c r="F24" s="2"/>
      <c r="G24" s="2"/>
      <c r="H24" s="2"/>
      <c r="I24" s="2"/>
      <c r="J24" s="2"/>
    </row>
    <row r="25" spans="1:10" x14ac:dyDescent="0.25">
      <c r="A25" s="4" t="s">
        <v>17</v>
      </c>
      <c r="B25" s="2">
        <f>4*(10^-7)*PI()</f>
        <v>1.2566370614359173E-6</v>
      </c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4" t="s">
        <v>63</v>
      </c>
      <c r="B26" s="2">
        <v>1</v>
      </c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4" t="s">
        <v>74</v>
      </c>
      <c r="B27" s="2">
        <v>50000000</v>
      </c>
      <c r="C27" s="2" t="s">
        <v>25</v>
      </c>
      <c r="D27" s="2"/>
      <c r="E27" s="2"/>
      <c r="F27" s="2"/>
      <c r="G27" s="2"/>
      <c r="H27" s="2"/>
      <c r="I27" s="2"/>
      <c r="J27" s="2"/>
    </row>
    <row r="28" spans="1:10" x14ac:dyDescent="0.25">
      <c r="A28" s="4" t="s">
        <v>111</v>
      </c>
      <c r="B28" s="2">
        <v>2.7000000000000001E-19</v>
      </c>
      <c r="C28" s="2" t="s">
        <v>112</v>
      </c>
      <c r="D28" s="2"/>
      <c r="E28" s="2"/>
      <c r="F28" s="2"/>
      <c r="G28" s="2"/>
      <c r="H28" s="2"/>
      <c r="I28" s="2"/>
      <c r="J28" s="2"/>
    </row>
    <row r="29" spans="1:10" x14ac:dyDescent="0.25">
      <c r="A29" s="4" t="s">
        <v>130</v>
      </c>
      <c r="B29" s="2"/>
      <c r="C29" s="2" t="s">
        <v>5</v>
      </c>
      <c r="D29" s="2"/>
      <c r="E29" s="2"/>
      <c r="F29" s="2"/>
      <c r="G29" s="2"/>
      <c r="H29" s="2"/>
      <c r="I29" s="2"/>
      <c r="J29" s="2"/>
    </row>
    <row r="30" spans="1:10" ht="18.75" x14ac:dyDescent="0.3">
      <c r="A30" s="3" t="s">
        <v>14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 t="s">
        <v>116</v>
      </c>
      <c r="B31" s="2">
        <f>B6-(2*B7)</f>
        <v>11.5</v>
      </c>
      <c r="C31" s="2" t="s">
        <v>5</v>
      </c>
      <c r="D31" s="2"/>
      <c r="E31" s="2"/>
      <c r="F31" s="2"/>
      <c r="G31" s="2"/>
      <c r="H31" s="2"/>
      <c r="I31" s="2"/>
      <c r="J31" s="2"/>
    </row>
    <row r="32" spans="1:10" x14ac:dyDescent="0.25">
      <c r="A32" s="2" t="s">
        <v>18</v>
      </c>
      <c r="B32" s="2">
        <f>IF(B8=0, (B9+B10)/2, B8)</f>
        <v>2</v>
      </c>
      <c r="C32" s="2" t="s">
        <v>5</v>
      </c>
      <c r="D32" s="2"/>
      <c r="E32" s="2"/>
      <c r="F32" s="2"/>
      <c r="G32" s="2"/>
      <c r="H32" s="2"/>
      <c r="I32" s="2"/>
      <c r="J32" s="2"/>
    </row>
    <row r="33" spans="1:10" x14ac:dyDescent="0.25">
      <c r="A33" s="2" t="s">
        <v>62</v>
      </c>
      <c r="B33" s="2">
        <f>(B25/(2*PI()))*0.75*(B31/B6)*((B2^2)/B32)</f>
        <v>27.075000000000003</v>
      </c>
      <c r="C33" s="2" t="s">
        <v>20</v>
      </c>
      <c r="D33" s="2"/>
      <c r="E33" s="2"/>
      <c r="F33" s="2"/>
      <c r="G33" s="2"/>
      <c r="H33" s="2"/>
      <c r="I33" s="2"/>
      <c r="J33" s="2"/>
    </row>
    <row r="34" spans="1:10" x14ac:dyDescent="0.25">
      <c r="A34" s="2" t="s">
        <v>149</v>
      </c>
      <c r="B34" s="2">
        <f>IF(B15=0, 0, B13+((B18*B19)/(B26*B31)))</f>
        <v>0</v>
      </c>
      <c r="C34" s="2" t="s">
        <v>11</v>
      </c>
      <c r="D34" s="2"/>
      <c r="E34" s="2"/>
      <c r="F34" s="2"/>
      <c r="G34" s="2"/>
      <c r="H34" s="2"/>
      <c r="I34" s="2"/>
      <c r="J34" s="2"/>
    </row>
    <row r="35" spans="1:10" x14ac:dyDescent="0.25">
      <c r="A35" s="2" t="s">
        <v>64</v>
      </c>
      <c r="B35" s="2">
        <f>IF(B34=0, B33/(B26*B13*B24), B33/(B26*B34*B24))</f>
        <v>4.1193116983887901</v>
      </c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4" t="s">
        <v>65</v>
      </c>
      <c r="B36" s="2">
        <f>DEGREES(ATAN(B35))</f>
        <v>76.354890825297502</v>
      </c>
      <c r="C36" s="2" t="s">
        <v>66</v>
      </c>
      <c r="D36" s="2"/>
      <c r="E36" s="2"/>
      <c r="F36" s="2"/>
      <c r="G36" s="2"/>
      <c r="H36" s="2"/>
      <c r="I36" s="2"/>
      <c r="J36" s="2"/>
    </row>
    <row r="37" spans="1:10" x14ac:dyDescent="0.25">
      <c r="A37" s="2" t="s">
        <v>67</v>
      </c>
      <c r="B37" s="2">
        <f>IF(B34=0, (B26*B13*B24*(B6^2))/(8*B16), (B26*B34*B24*(B6^2))/(8*B16))</f>
        <v>0.27163736718750003</v>
      </c>
      <c r="C37" s="2" t="s">
        <v>5</v>
      </c>
      <c r="D37" s="2"/>
      <c r="E37" s="2"/>
      <c r="F37" s="2"/>
      <c r="G37" s="2"/>
      <c r="H37" s="2"/>
      <c r="I37" s="2"/>
      <c r="J37" s="2"/>
    </row>
    <row r="38" spans="1:10" x14ac:dyDescent="0.25">
      <c r="A38" s="2" t="s">
        <v>70</v>
      </c>
      <c r="B38" s="2">
        <f>IF(B34=0, (B26*B13*B24*(B6^2))/(8*B17), (B26*B34*B24*(B6^2))/(8*B17))</f>
        <v>0.39800346840659351</v>
      </c>
      <c r="C38" s="2" t="s">
        <v>5</v>
      </c>
      <c r="D38" s="2"/>
      <c r="E38" s="2"/>
      <c r="F38" s="2"/>
      <c r="G38" s="2"/>
      <c r="H38" s="2"/>
      <c r="I38" s="2"/>
      <c r="J38" s="2"/>
    </row>
    <row r="39" spans="1:10" x14ac:dyDescent="0.25">
      <c r="A39" s="2" t="s">
        <v>68</v>
      </c>
      <c r="B39" s="2">
        <f>(2*PI())*SQRT(0.8*(B37/B24))</f>
        <v>0.93515826038672489</v>
      </c>
      <c r="C39" s="2" t="s">
        <v>52</v>
      </c>
      <c r="D39" s="2"/>
      <c r="E39" s="2"/>
      <c r="F39" s="2"/>
      <c r="G39" s="2"/>
      <c r="H39" s="2"/>
      <c r="I39" s="2"/>
      <c r="J39" s="2"/>
    </row>
    <row r="40" spans="1:10" x14ac:dyDescent="0.25">
      <c r="A40" s="2" t="s">
        <v>71</v>
      </c>
      <c r="B40" s="2">
        <f>(2*PI())*SQRT(0.8*(B38/B24))</f>
        <v>1.131967053177414</v>
      </c>
      <c r="C40" s="2" t="s">
        <v>52</v>
      </c>
      <c r="D40" s="2"/>
      <c r="E40" s="2"/>
      <c r="F40" s="2"/>
      <c r="G40" s="2"/>
      <c r="H40" s="2"/>
      <c r="I40" s="2"/>
      <c r="J40" s="2"/>
    </row>
    <row r="41" spans="1:10" x14ac:dyDescent="0.25">
      <c r="A41" s="2" t="s">
        <v>72</v>
      </c>
      <c r="B41" s="2">
        <f>B39/((SQRT(SQRT(1+(B35^2))))*(1-((((PI()^2))/64)*((B36/90)^2))))</f>
        <v>0.5109191764210137</v>
      </c>
      <c r="C41" s="2" t="s">
        <v>52</v>
      </c>
      <c r="D41" s="2"/>
      <c r="E41" s="2"/>
      <c r="F41" s="2"/>
      <c r="G41" s="2"/>
      <c r="H41" s="2"/>
      <c r="I41" s="2"/>
      <c r="J41" s="2"/>
    </row>
    <row r="42" spans="1:10" x14ac:dyDescent="0.25">
      <c r="A42" s="2" t="s">
        <v>73</v>
      </c>
      <c r="B42" s="2">
        <f>B40/((SQRT(SQRT(1+(B35^2))))*(1-((((PI()^2))/64)*((B36/90)^2))))</f>
        <v>0.61844470507693339</v>
      </c>
      <c r="C42" s="2" t="s">
        <v>52</v>
      </c>
      <c r="D42" s="2"/>
      <c r="E42" s="2"/>
      <c r="F42" s="2"/>
      <c r="G42" s="2"/>
      <c r="H42" s="2"/>
      <c r="I42" s="2"/>
      <c r="J42" s="2"/>
    </row>
    <row r="43" spans="1:10" x14ac:dyDescent="0.25">
      <c r="A43" s="2" t="s">
        <v>77</v>
      </c>
      <c r="B43" s="2">
        <f>IF((B16/(B26*B12))&lt;=B27, B14*(0.3+(0.7*SIN((PI()/180)*(B16*90)/(B26*B12*B27)))), B14)</f>
        <v>18498296998.07814</v>
      </c>
      <c r="C43" s="2" t="s">
        <v>25</v>
      </c>
      <c r="D43" s="2"/>
      <c r="E43" s="2"/>
      <c r="F43" s="2"/>
      <c r="G43" s="2"/>
      <c r="H43" s="2"/>
      <c r="I43" s="2"/>
      <c r="J43" s="2"/>
    </row>
    <row r="44" spans="1:10" x14ac:dyDescent="0.25">
      <c r="A44" s="2" t="s">
        <v>78</v>
      </c>
      <c r="B44" s="2">
        <f>IF((B17/(B26*B12))&lt;=B27, B14*(0.3+(0.7*SIN((PI()/180)*(B17*90)/(B26*B12*B27)))), B14)</f>
        <v>17864165199.151375</v>
      </c>
      <c r="C44" s="2" t="s">
        <v>25</v>
      </c>
      <c r="D44" s="2"/>
      <c r="E44" s="2"/>
      <c r="F44" s="2"/>
      <c r="G44" s="2"/>
      <c r="H44" s="2"/>
      <c r="I44" s="2"/>
      <c r="J44" s="2"/>
    </row>
    <row r="45" spans="1:10" x14ac:dyDescent="0.25">
      <c r="A45" s="2" t="s">
        <v>75</v>
      </c>
      <c r="B45" s="2">
        <f>(1/(B11*B6))+(1/(B26*B12*B43))</f>
        <v>1.0929496405837741E-6</v>
      </c>
      <c r="C45" s="2" t="s">
        <v>80</v>
      </c>
      <c r="D45" s="2"/>
      <c r="E45" s="2"/>
      <c r="F45" s="2"/>
      <c r="G45" s="2"/>
      <c r="H45" s="2"/>
      <c r="I45" s="2"/>
      <c r="J45" s="2"/>
    </row>
    <row r="46" spans="1:10" x14ac:dyDescent="0.25">
      <c r="A46" s="2" t="s">
        <v>79</v>
      </c>
      <c r="B46" s="2">
        <f>(1/(B11*B6))+(1/(B26*B12*B44))</f>
        <v>1.1008792115741939E-6</v>
      </c>
      <c r="C46" s="2" t="s">
        <v>80</v>
      </c>
      <c r="D46" s="2"/>
      <c r="E46" s="2"/>
      <c r="F46" s="2"/>
      <c r="G46" s="2"/>
      <c r="H46" s="2"/>
      <c r="I46" s="2"/>
      <c r="J46" s="2"/>
    </row>
    <row r="47" spans="1:10" x14ac:dyDescent="0.25">
      <c r="A47" s="4" t="s">
        <v>81</v>
      </c>
      <c r="B47" s="2">
        <f>IF(B34=0, ((B13*B26*B24*B6)^2)/(24*(B16^3)*B45), ((B34*B26*B24*B6)^2)/(24*(B16^3)*B45))</f>
        <v>3.4032349574520349</v>
      </c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4" t="s">
        <v>82</v>
      </c>
      <c r="B48" s="2">
        <f>IF(B34=0, ((B13*B26*B24*B6)^2)/(24*(B17^3)*B46), ((B34*B26*B24*B6)^2)/(24*(B17^3)*B46))</f>
        <v>10.627826287458369</v>
      </c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4" t="s">
        <v>83</v>
      </c>
      <c r="B49" s="2">
        <f>IF((B4/B41)&gt;0.5,2*B36,B36*(1-COS((PI()/180)*(360*(B4/B41)))))</f>
        <v>152.709781650595</v>
      </c>
      <c r="C49" s="2" t="s">
        <v>66</v>
      </c>
      <c r="D49" s="2"/>
      <c r="E49" s="2"/>
      <c r="F49" s="2"/>
      <c r="G49" s="2"/>
      <c r="H49" s="2"/>
      <c r="I49" s="2"/>
      <c r="J49" s="2"/>
    </row>
    <row r="50" spans="1:10" x14ac:dyDescent="0.25">
      <c r="A50" s="4" t="s">
        <v>84</v>
      </c>
      <c r="B50" s="2">
        <f>IF((B4/B42)&gt;0.5,2*B36,B36*(1-COS((PI()/180)*(360*(B4/B42)))))</f>
        <v>152.37486977551058</v>
      </c>
      <c r="C50" s="2" t="s">
        <v>66</v>
      </c>
      <c r="D50" s="2"/>
      <c r="E50" s="2"/>
      <c r="F50" s="2"/>
      <c r="G50" s="2"/>
      <c r="H50" s="2"/>
      <c r="I50" s="2"/>
      <c r="J50" s="2"/>
    </row>
    <row r="51" spans="1:10" ht="16.5" thickBot="1" x14ac:dyDescent="0.3">
      <c r="A51" s="2" t="s">
        <v>85</v>
      </c>
      <c r="B51" s="2">
        <f>IF(B4&gt;=(B41/4), 3*(SQRT(1+(B35^2))-1), 3*((B35*SIN(B49*(PI()/180)))+COS((PI()/180)*B49)-1))</f>
        <v>9.7168612407443007</v>
      </c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 t="s">
        <v>86</v>
      </c>
      <c r="B52" s="2">
        <f>IF(B4&gt;=(B42/4), 3*(SQRT(1+(B35^2))-1), 3*((B35*SIN(B50*(PI()/180)))+COS((PI()/180)*B50)-1))</f>
        <v>9.7168612407443007</v>
      </c>
      <c r="C52" s="2"/>
      <c r="D52" s="9" t="s">
        <v>88</v>
      </c>
      <c r="E52" s="10" t="s">
        <v>89</v>
      </c>
      <c r="F52" s="10" t="s">
        <v>90</v>
      </c>
      <c r="G52" s="10" t="s">
        <v>91</v>
      </c>
      <c r="H52" s="11" t="s">
        <v>92</v>
      </c>
      <c r="I52" s="2"/>
      <c r="J52" s="2"/>
    </row>
    <row r="53" spans="1:10" x14ac:dyDescent="0.25">
      <c r="A53" s="4" t="s">
        <v>87</v>
      </c>
      <c r="B53" s="2">
        <v>0.5315441360176123</v>
      </c>
      <c r="C53" s="2"/>
      <c r="D53" s="12">
        <f>B51^2</f>
        <v>94.417392371878876</v>
      </c>
      <c r="E53" s="13">
        <f>B51*(2+B47)</f>
        <v>52.502484332700362</v>
      </c>
      <c r="F53" s="13">
        <f>1+(2*B51)</f>
        <v>20.433722481488601</v>
      </c>
      <c r="G53" s="13">
        <f>(B47*(2+B51))</f>
        <v>39.875231766115824</v>
      </c>
      <c r="H53" s="14">
        <f>(D53*(B53^3))+(E53*(B53^2))+(F53*B53)-G53</f>
        <v>-1.7039389277329064E-6</v>
      </c>
      <c r="I53" s="2"/>
      <c r="J53" s="2"/>
    </row>
    <row r="54" spans="1:10" x14ac:dyDescent="0.25">
      <c r="A54" s="4" t="s">
        <v>93</v>
      </c>
      <c r="B54" s="2">
        <v>0.7509523821899674</v>
      </c>
      <c r="C54" s="2"/>
      <c r="D54" s="12" t="s">
        <v>94</v>
      </c>
      <c r="E54" s="13" t="s">
        <v>95</v>
      </c>
      <c r="F54" s="13" t="s">
        <v>96</v>
      </c>
      <c r="G54" s="13" t="s">
        <v>97</v>
      </c>
      <c r="H54" s="14" t="s">
        <v>98</v>
      </c>
      <c r="I54" s="2"/>
      <c r="J54" s="2"/>
    </row>
    <row r="55" spans="1:10" ht="16.5" thickBot="1" x14ac:dyDescent="0.3">
      <c r="A55" s="2" t="s">
        <v>99</v>
      </c>
      <c r="B55" s="2" cm="1">
        <f t="array" ref="B55">_xlfn.IFS(B26=1, B16*(1+(B51*B53)), B26&gt;=2, 1.1*B16*(1+(B51*B53)))</f>
        <v>2465.9762452057817</v>
      </c>
      <c r="C55" s="2" t="s">
        <v>20</v>
      </c>
      <c r="D55" s="15">
        <f>B52^2</f>
        <v>94.417392371878876</v>
      </c>
      <c r="E55" s="16">
        <f>B52*(2+B48)</f>
        <v>122.70283580745622</v>
      </c>
      <c r="F55" s="16">
        <f>1+(2*B52)</f>
        <v>20.433722481488601</v>
      </c>
      <c r="G55" s="16">
        <f>(B48*(2+B52))</f>
        <v>124.52476590088436</v>
      </c>
      <c r="H55" s="17">
        <f>(D55*(B54^3))+(E55*(B54^2))+(F55*B54)-G55</f>
        <v>5.7163220361644562E-6</v>
      </c>
      <c r="I55" s="2"/>
      <c r="J55" s="2"/>
    </row>
    <row r="56" spans="1:10" x14ac:dyDescent="0.25">
      <c r="A56" s="2" t="s">
        <v>100</v>
      </c>
      <c r="B56" s="2" cm="1">
        <f t="array" ref="B56">_xlfn.IFS(B26=1, B17*(1+(B52*B54)), B26&gt;=2, 1.1*B17*(1+(B52*B54)))</f>
        <v>2265.0537262479388</v>
      </c>
      <c r="C56" s="2" t="s">
        <v>20</v>
      </c>
      <c r="D56" s="2"/>
      <c r="E56" s="2"/>
      <c r="F56" s="2"/>
      <c r="G56" s="2"/>
      <c r="H56" s="2"/>
      <c r="I56" s="2"/>
      <c r="J56" s="2"/>
    </row>
    <row r="57" spans="1:10" x14ac:dyDescent="0.25">
      <c r="A57" s="4" t="s">
        <v>101</v>
      </c>
      <c r="B57" s="2">
        <f>MAX(B55,B56)</f>
        <v>2465.9762452057817</v>
      </c>
      <c r="C57" s="2" t="s">
        <v>20</v>
      </c>
      <c r="D57" s="2"/>
      <c r="E57" s="2"/>
      <c r="F57" s="2"/>
      <c r="G57" s="2"/>
      <c r="H57" s="2"/>
      <c r="I57" s="2"/>
      <c r="J57" s="2"/>
    </row>
    <row r="58" spans="1:10" x14ac:dyDescent="0.25">
      <c r="A58" s="5" t="s">
        <v>102</v>
      </c>
      <c r="B58" s="2" cm="1">
        <f t="array" ref="B58">_xlfn.IFS(AND(B49&gt;=0, B49&lt;=90), 1-(B35*SIN((PI()/180)*B49)), B49&gt;90, 1-B35)</f>
        <v>-3.1193116983887901</v>
      </c>
      <c r="C58" s="2"/>
      <c r="D58" s="2"/>
      <c r="E58" s="2"/>
      <c r="F58" s="2"/>
      <c r="G58" s="2"/>
      <c r="H58" s="2"/>
      <c r="I58" s="2"/>
      <c r="J58" s="2"/>
    </row>
    <row r="59" spans="1:10" x14ac:dyDescent="0.25">
      <c r="A59" s="5" t="s">
        <v>103</v>
      </c>
      <c r="B59" s="2" cm="1">
        <f t="array" ref="B59">_xlfn.IFS(AND(B50&gt;=0, B50&lt;=90), 1-(B35*SIN((PI()/180)*B50)), B50&gt;90, 1-B35)</f>
        <v>-3.1193116983887901</v>
      </c>
      <c r="C59" s="2"/>
      <c r="D59" s="2"/>
      <c r="E59" s="2"/>
      <c r="F59" s="2"/>
      <c r="G59" s="2"/>
      <c r="H59" s="2"/>
      <c r="I59" s="2"/>
      <c r="J59" s="2"/>
    </row>
    <row r="60" spans="1:10" x14ac:dyDescent="0.25">
      <c r="A60" s="4" t="s">
        <v>104</v>
      </c>
      <c r="B60" s="2" cm="1">
        <f t="array" ref="B60">_xlfn.IFS(AND(0.766&lt;=B58,B58&lt;=1),1.25*(180/PI())*ACOS(B58),AND(B58&gt;=-0.985, B58&lt;0.766),10+((180/PI())*ACOS(B58)),B58&lt;-0.985,180)</f>
        <v>180</v>
      </c>
      <c r="C60" s="2" t="s">
        <v>66</v>
      </c>
      <c r="D60" s="2"/>
      <c r="E60" s="2"/>
      <c r="F60" s="2"/>
      <c r="G60" s="2"/>
      <c r="H60" s="2"/>
      <c r="I60" s="2"/>
      <c r="J60" s="2"/>
    </row>
    <row r="61" spans="1:10" x14ac:dyDescent="0.25">
      <c r="A61" s="4" t="s">
        <v>105</v>
      </c>
      <c r="B61" s="2" cm="1">
        <f t="array" ref="B61">_xlfn.IFS(AND(0.766&lt;=B59,B59&lt;=1),1.25*(180/PI())*ACOS(B59),AND(B59&gt;=-0.985, B59&lt;0.766),10+((180/PI())*ACOS(B59)),B59&lt;-0.985,180)</f>
        <v>180</v>
      </c>
      <c r="C61" s="2" t="s">
        <v>66</v>
      </c>
      <c r="D61" s="2"/>
      <c r="E61" s="2"/>
      <c r="F61" s="2"/>
      <c r="G61" s="2"/>
      <c r="H61" s="2"/>
      <c r="I61" s="2"/>
      <c r="J61" s="2"/>
    </row>
    <row r="62" spans="1:10" x14ac:dyDescent="0.25">
      <c r="A62" s="2" t="s">
        <v>106</v>
      </c>
      <c r="B62" s="2">
        <f>1.2*B16*SQRT(1+(8*B47*(B60/180)))</f>
        <v>2550.1456181119524</v>
      </c>
      <c r="C62" s="2" t="s">
        <v>20</v>
      </c>
      <c r="D62" s="2"/>
      <c r="E62" s="2"/>
      <c r="F62" s="2"/>
      <c r="G62" s="2"/>
      <c r="H62" s="2"/>
      <c r="I62" s="2"/>
      <c r="J62" s="2"/>
    </row>
    <row r="63" spans="1:10" x14ac:dyDescent="0.25">
      <c r="A63" s="2" t="s">
        <v>107</v>
      </c>
      <c r="B63" s="2">
        <f>1.2*B17*SQRT(1+(8*B48*(B61/180)))</f>
        <v>3038.436758788042</v>
      </c>
      <c r="C63" s="2" t="s">
        <v>20</v>
      </c>
      <c r="D63" s="2"/>
      <c r="E63" s="2"/>
      <c r="F63" s="2"/>
      <c r="G63" s="2"/>
      <c r="H63" s="2"/>
      <c r="I63" s="2"/>
      <c r="J63" s="2"/>
    </row>
    <row r="64" spans="1:10" x14ac:dyDescent="0.25">
      <c r="A64" s="2" t="s">
        <v>108</v>
      </c>
      <c r="B64" s="2">
        <f>MAX(B62,B63)</f>
        <v>3038.436758788042</v>
      </c>
      <c r="C64" s="2" t="s">
        <v>20</v>
      </c>
      <c r="D64" s="2"/>
      <c r="E64" s="2"/>
      <c r="F64" s="2"/>
      <c r="G64" s="2"/>
      <c r="H64" s="2"/>
      <c r="I64" s="2"/>
      <c r="J64" s="2"/>
    </row>
    <row r="65" spans="1:10" ht="15.75" customHeight="1" x14ac:dyDescent="0.35">
      <c r="A65" s="4" t="s">
        <v>109</v>
      </c>
      <c r="B65" s="2">
        <f>B46*(B56-B17)</f>
        <v>2.1930105355652658E-3</v>
      </c>
      <c r="C65" s="2"/>
      <c r="D65" s="2"/>
      <c r="E65" s="2"/>
      <c r="F65" s="2"/>
      <c r="G65" s="2"/>
      <c r="H65" s="2"/>
      <c r="I65" s="2"/>
      <c r="J65" s="2"/>
    </row>
    <row r="66" spans="1:10" ht="17.25" customHeight="1" x14ac:dyDescent="0.35">
      <c r="A66" s="4" t="s">
        <v>110</v>
      </c>
      <c r="B66" s="2">
        <f>IF(B4&lt;(B42/4), B28*((B2/(B26*B12))^2)*B4, B28*((B2/(B26*B12))^2)*(B42/4))</f>
        <v>2.5732448861010476E-4</v>
      </c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 t="s">
        <v>113</v>
      </c>
      <c r="B67" s="2">
        <f>SQRT(1+((3/8)*((B6/B38)^2)*(B65+B66)))</f>
        <v>1.3293408882389006</v>
      </c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2" t="s">
        <v>114</v>
      </c>
      <c r="B68" s="2" cm="1">
        <f t="array" ref="B68">_xlfn.IFS(B35&lt;=0.8, 1.05, AND(B35&gt;0.8, B35&lt;1.8), 0.97+(0.1*B35), B35&gt;=1.8, 1.15)</f>
        <v>1.1499999999999999</v>
      </c>
      <c r="C68" s="2"/>
      <c r="D68" s="2"/>
      <c r="E68" s="2"/>
      <c r="F68" s="2"/>
      <c r="G68" s="2"/>
      <c r="H68" s="2"/>
      <c r="I68" s="2"/>
      <c r="J68" s="2"/>
    </row>
    <row r="69" spans="1:10" x14ac:dyDescent="0.25">
      <c r="A69" s="2" t="s">
        <v>115</v>
      </c>
      <c r="B69" s="2" cm="1">
        <f t="array" ref="B69">_xlfn.IFS(AND(B31=B6, B61&gt;=90), B67*B68*B38, AND(B31=B6, B61&lt;90), B67*B68*B38*SIN(B61*(PI()/180)), AND(B31&lt;B6, B61&gt;=B36), B67*B68*B38*SIN((PI()/180)*B36), AND(B31&lt;B6, B61&lt;B36), B67*B68*B38*SIN(B61*(PI()/180)))</f>
        <v>0.60844462684585177</v>
      </c>
      <c r="C69" s="2" t="s">
        <v>5</v>
      </c>
      <c r="D69" s="2"/>
      <c r="E69" s="2"/>
      <c r="F69" s="2"/>
      <c r="G69" s="2"/>
      <c r="H69" s="2"/>
      <c r="I69" s="2"/>
      <c r="J69" s="2"/>
    </row>
    <row r="70" spans="1:10" x14ac:dyDescent="0.25">
      <c r="A70" s="2" t="s">
        <v>118</v>
      </c>
      <c r="B70" s="2">
        <f>B32-(2*B69)</f>
        <v>0.78311074630829647</v>
      </c>
      <c r="C70" s="2" t="s">
        <v>5</v>
      </c>
      <c r="D70" s="2"/>
      <c r="E70" s="2"/>
      <c r="F70" s="2"/>
      <c r="G70" s="2"/>
      <c r="H70" s="2"/>
      <c r="I70" s="2"/>
      <c r="J70" s="2"/>
    </row>
    <row r="71" spans="1:10" x14ac:dyDescent="0.25">
      <c r="A71" s="2" t="s">
        <v>121</v>
      </c>
      <c r="B71" s="2">
        <f>MAX(1.5*B57,B64)</f>
        <v>3698.9643678086723</v>
      </c>
      <c r="C71" s="2" t="s">
        <v>20</v>
      </c>
      <c r="D71" s="2"/>
      <c r="E71" s="2"/>
      <c r="F71" s="2"/>
      <c r="G71" s="2"/>
      <c r="H71" s="2"/>
      <c r="I71" s="2"/>
      <c r="J71" s="2"/>
    </row>
    <row r="72" spans="1:10" ht="18.75" x14ac:dyDescent="0.3">
      <c r="A72" s="3" t="s">
        <v>120</v>
      </c>
      <c r="B72" s="2"/>
      <c r="C72" s="2"/>
      <c r="D72" s="2"/>
      <c r="E72" s="2"/>
      <c r="F72" s="2"/>
      <c r="G72" s="2"/>
      <c r="H72" s="2"/>
      <c r="I72" s="2"/>
      <c r="J72" s="2"/>
    </row>
    <row r="73" spans="1:10" ht="36" customHeight="1" x14ac:dyDescent="0.25">
      <c r="A73" s="19" t="str">
        <f>"Potporna konstrukcija je za vrijeme kratkog spoja opterečena vlačnom silom Ft="&amp;ROUND(B57,3)&amp;" N, a nakon djelovanja kratkog spoja vlačnom silom Ff="&amp;ROUND(B64,3)&amp;" N. Horizontalni pomak raspona iznosi bh="&amp;ROUND(B69,3)&amp;" m, a minimalni zračni razmak između vodiča iznosi amin="&amp;ROUND(B70,3)&amp;" m."</f>
        <v>Potporna konstrukcija je za vrijeme kratkog spoja opterečena vlačnom silom Ft=2465.976 N, a nakon djelovanja kratkog spoja vlačnom silom Ff=3038.437 N. Horizontalni pomak raspona iznosi bh=0.608 m, a minimalni zračni razmak između vodiča iznosi amin=0.783 m.</v>
      </c>
      <c r="B73" s="19"/>
      <c r="C73" s="19"/>
      <c r="D73" s="19"/>
      <c r="E73" s="19"/>
      <c r="F73" s="19"/>
      <c r="G73" s="19"/>
      <c r="H73" s="19"/>
      <c r="I73" s="19"/>
      <c r="J73" s="19"/>
    </row>
    <row r="74" spans="1:10" x14ac:dyDescent="0.25">
      <c r="A74" s="7" t="str">
        <f>"Uređaj za zatezanje odabire se na temelju sile Fmax="&amp;ROUND(B71,3)&amp;" N."</f>
        <v>Uređaj za zatezanje odabire se na temelju sile Fmax=3698.964 N.</v>
      </c>
      <c r="B74" s="2"/>
      <c r="C74" s="2"/>
      <c r="D74" s="2"/>
      <c r="E74" s="2"/>
      <c r="F74" s="2"/>
      <c r="G74" s="2"/>
      <c r="H74" s="2"/>
      <c r="I74" s="2"/>
      <c r="J74" s="2"/>
    </row>
  </sheetData>
  <mergeCells count="1">
    <mergeCell ref="A73:J7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Kruti pravokutni vodiči </vt:lpstr>
      <vt:lpstr>Kruti okrugli vodiči </vt:lpstr>
      <vt:lpstr>Fleksibilni vodiči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CAR</dc:creator>
  <cp:lastModifiedBy>RICARDO CAR</cp:lastModifiedBy>
  <dcterms:created xsi:type="dcterms:W3CDTF">2015-06-05T18:19:34Z</dcterms:created>
  <dcterms:modified xsi:type="dcterms:W3CDTF">2022-09-01T11:41:40Z</dcterms:modified>
</cp:coreProperties>
</file>